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.11" sheetId="1" r:id="rId1"/>
    <sheet name="ZAŁ. NR 2.11" sheetId="2" r:id="rId2"/>
    <sheet name="ZAŁ. NR 3.11" sheetId="3" r:id="rId3"/>
    <sheet name="ZĄŁ. NR 4.11" sheetId="4" r:id="rId4"/>
    <sheet name="ZAŁ. NR 5.11" sheetId="5" r:id="rId5"/>
    <sheet name="Zał. alk.6.11" sheetId="6" r:id="rId6"/>
  </sheets>
  <definedNames>
    <definedName name="_xlnm.Print_Titles" localSheetId="0">'ZAŁ. NR 1.11'!$6:$6</definedName>
    <definedName name="_xlnm.Print_Titles" localSheetId="1">'ZAŁ. NR 2.11'!$6:$6</definedName>
    <definedName name="_xlnm.Print_Titles" localSheetId="2">'ZAŁ. NR 3.11'!$6:$6</definedName>
    <definedName name="_xlnm.Print_Titles" localSheetId="4">'ZAŁ. NR 5.11'!$6:$6</definedName>
    <definedName name="_xlnm.Print_Titles" localSheetId="3">'ZĄŁ. NR 4.11'!$6:$6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24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<sst xmlns="http://schemas.openxmlformats.org/spreadsheetml/2006/main" count="1626" uniqueCount="500">
  <si>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</si>
  <si>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</si>
  <si>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</si>
  <si>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</si>
  <si>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</si>
  <si>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</si>
  <si>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</si>
  <si>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</si>
  <si>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</si>
  <si>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</si>
  <si>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</si>
  <si>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</si>
  <si>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</si>
  <si>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</si>
  <si>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</si>
  <si>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</si>
  <si>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</si>
  <si>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</si>
  <si>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</si>
  <si>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</si>
  <si>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</si>
  <si>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</si>
  <si>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</si>
  <si>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</si>
  <si>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</si>
  <si>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</si>
  <si>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</si>
  <si>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</si>
  <si>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</si>
  <si>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</si>
  <si>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</si>
  <si>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</si>
  <si>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</si>
  <si>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</si>
  <si>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</si>
  <si>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</si>
  <si>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</si>
  <si>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</si>
  <si>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</si>
  <si>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</si>
  <si>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</si>
  <si>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</si>
  <si>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</si>
  <si>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</si>
  <si>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</si>
  <si>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</si>
  <si>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</si>
  <si>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</si>
  <si>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</si>
  <si>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</si>
  <si>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</si>
  <si>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</si>
  <si>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</si>
  <si>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</si>
  <si>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</si>
  <si>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</si>
  <si>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</si>
  <si>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</si>
  <si>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</si>
  <si>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</si>
  <si>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</si>
  <si>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</si>
  <si>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</si>
  <si>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</si>
  <si>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</si>
  <si>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</si>
  <si>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</si>
  <si>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</si>
  <si>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</si>
  <si>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</si>
  <si>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</si>
  <si>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</si>
  <si>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</si>
  <si>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</si>
  <si>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</si>
  <si>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</si>
  <si>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</si>
  <si>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</si>
  <si>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</si>
  <si>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</si>
  <si>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</si>
  <si>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</si>
  <si>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</si>
  <si>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</si>
  <si>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</si>
  <si>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</si>
  <si>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</si>
  <si>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</si>
  <si>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</si>
  <si>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</si>
  <si>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</si>
  <si>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</si>
  <si>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</si>
  <si>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</si>
  <si>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</si>
  <si>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</si>
  <si>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</si>
  <si>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</si>
  <si>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</si>
  <si>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</si>
  <si>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</si>
  <si>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</si>
  <si>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</si>
  <si>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</si>
  <si>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</si>
  <si>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</si>
  <si>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</si>
  <si>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</si>
  <si>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</si>
  <si>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</si>
  <si>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</si>
  <si>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</si>
  <si>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</si>
  <si>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</si>
  <si>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</si>
  <si>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</si>
  <si>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</si>
  <si>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</si>
  <si>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</si>
  <si>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</si>
  <si>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</si>
  <si>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</si>
  <si>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</si>
  <si>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</si>
  <si>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</si>
  <si>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</si>
  <si>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</si>
  <si>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</si>
  <si>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</si>
  <si>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</si>
  <si>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</si>
  <si>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</si>
  <si>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</si>
  <si>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</si>
  <si>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</si>
  <si>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</si>
  <si>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</si>
  <si>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</si>
  <si>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</si>
  <si>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</si>
  <si>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</si>
  <si>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</si>
  <si>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</si>
  <si>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</si>
  <si>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</si>
  <si>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</si>
  <si>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</si>
  <si>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</si>
  <si>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</si>
  <si>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</si>
  <si>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</si>
  <si>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</si>
  <si>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</si>
  <si>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</si>
  <si>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</si>
  <si>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</si>
  <si>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</si>
  <si>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</si>
  <si>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</si>
  <si>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</si>
  <si>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</si>
  <si>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</si>
  <si>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</si>
  <si>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</si>
  <si>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</si>
  <si>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</si>
  <si>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</si>
  <si>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</si>
  <si>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</si>
  <si>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</si>
  <si>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</si>
  <si>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</si>
  <si>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</si>
  <si>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</si>
  <si>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</si>
  <si>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</si>
  <si>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</si>
  <si>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</si>
  <si>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</si>
  <si>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</si>
  <si>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</si>
  <si>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</si>
  <si>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</si>
  <si>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</si>
  <si>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</si>
  <si>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</si>
  <si>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</si>
  <si>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</si>
  <si>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</si>
  <si>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</si>
  <si>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</si>
  <si>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</si>
  <si>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</si>
  <si>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</si>
  <si>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</si>
  <si>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</si>
  <si>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</si>
  <si>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</si>
  <si>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</si>
  <si>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</si>
  <si>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</si>
  <si>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</si>
  <si>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</si>
  <si>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</si>
  <si>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</si>
  <si>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</si>
  <si>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</si>
  <si>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</si>
  <si>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</si>
  <si>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</si>
  <si>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</si>
  <si>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</si>
  <si>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</si>
  <si>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</si>
  <si>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</si>
  <si>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</si>
  <si>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</si>
  <si>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</si>
  <si>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</si>
  <si>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</si>
  <si>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>0760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</si>
  <si>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</si>
  <si>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</si>
  <si>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</si>
  <si>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</si>
  <si>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</si>
  <si>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</si>
  <si>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</si>
  <si>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</si>
  <si>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</si>
  <si>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</si>
  <si>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</si>
  <si>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</si>
  <si>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</si>
  <si>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</si>
  <si>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</si>
  <si>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</si>
  <si>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</si>
  <si>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</si>
  <si>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</si>
  <si>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</si>
  <si>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</si>
  <si>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</si>
  <si>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</si>
  <si>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</si>
  <si>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</si>
  <si>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</si>
  <si>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</si>
  <si>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</si>
  <si>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</si>
  <si>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</si>
  <si>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</si>
  <si>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</si>
  <si>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zasiłki stałe</t>
  </si>
  <si>
    <t>01009</t>
  </si>
  <si>
    <t>Spółki wodne</t>
  </si>
  <si>
    <t xml:space="preserve">rozbudowa gimnazjum w Siedlisku z budową sali gimnastycznej </t>
  </si>
  <si>
    <t>termomodernizacja Gimnazjum Nr 1</t>
  </si>
  <si>
    <t>termomodernizacja Szkoły Podstawowej Nr 3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</si>
  <si>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</si>
  <si>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</si>
  <si>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</si>
  <si>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</si>
  <si>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</si>
  <si>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</si>
  <si>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</si>
  <si>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</si>
  <si>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</si>
  <si>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</si>
  <si>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</si>
  <si>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</si>
  <si>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</si>
  <si>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projekt i wykonanie sieci teleinformatycznej</t>
  </si>
  <si>
    <t>Program Rozwoju Obszarów Wiejskich 2007 - 2013</t>
  </si>
  <si>
    <t>rózne opłaty i składki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</si>
  <si>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</si>
  <si>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</si>
  <si>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</si>
  <si>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</si>
  <si>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</si>
  <si>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</si>
  <si>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>zakup wyparzacza do kuchni (SP Łomnica)</t>
  </si>
  <si>
    <t>dotacja celowa z budżetu na finansowanie lub dofinansowanie zadań zleconych do realizacji pozostałym jednostkom niezaliczanym do sektora finansów publicznych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</si>
  <si>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</si>
  <si>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</si>
  <si>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</si>
  <si>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</si>
  <si>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</si>
  <si>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</si>
  <si>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</si>
  <si>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</si>
  <si>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</si>
  <si>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</si>
  <si>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</si>
  <si>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</si>
  <si>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</si>
  <si>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</si>
  <si>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</si>
  <si>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</si>
  <si>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PT rozbudowy cmentarza komunalnego w Trzciance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</si>
  <si>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</si>
  <si>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</si>
  <si>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</si>
  <si>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</si>
  <si>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</si>
  <si>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</si>
  <si>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</si>
  <si>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</si>
  <si>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</si>
  <si>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</si>
  <si>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</si>
  <si>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</si>
  <si>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</si>
  <si>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plan po zmianach</t>
  </si>
  <si>
    <t xml:space="preserve">Rady Miejskie Trzcianki z dnia 17 grudnia 2010 r. 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</si>
  <si>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</si>
  <si>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</si>
  <si>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</si>
  <si>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</si>
  <si>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</si>
  <si>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</si>
  <si>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</si>
  <si>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</si>
  <si>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</si>
  <si>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</si>
  <si>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plan przed 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</si>
  <si>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</si>
  <si>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</si>
  <si>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</si>
  <si>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</si>
  <si>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</si>
  <si>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>pozostałe zadania w zakresie kultury</t>
  </si>
  <si>
    <t xml:space="preserve">Rady Miejskiej Trzcianki z dnia 17 grudnia 2009 r. </t>
  </si>
  <si>
    <t>Załącznik Nr 6 do Uchwały Nr XXXVII/266/09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</si>
  <si>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</si>
  <si>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</si>
  <si>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</si>
  <si>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</si>
  <si>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</si>
  <si>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</si>
  <si>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zmn.</t>
  </si>
  <si>
    <t>pl.zabaw</t>
  </si>
  <si>
    <t>zarządzanie kryzysowe</t>
  </si>
  <si>
    <t>Siedlisko</t>
  </si>
  <si>
    <t>G 1</t>
  </si>
  <si>
    <t>dotacje celowe przekazane gminie na zadania bieżące realizowane na podstawie porozumień  (umów) między jednostkami samorządu terytorialnego</t>
  </si>
  <si>
    <t>0960</t>
  </si>
  <si>
    <t>Załącznik Nr 6 do Uchwały Nr XXXIX/278/10</t>
  </si>
  <si>
    <t>Rady Miejskiej Trzcianki z dnia 25 marca 2010 r. zmieniający</t>
  </si>
  <si>
    <t>Załącznik Nr 5 do Uchwały Nr XXXIX/278/10</t>
  </si>
  <si>
    <t>Załącznik Nr 3 do Uchwały Nr XXXIX/278/10</t>
  </si>
  <si>
    <t>Załącznik Nr 2 do Uchwały Nr XXXIX/278/10</t>
  </si>
  <si>
    <t>Załącznik Nr 1 do Uchwały Nr XXXIX/278/10</t>
  </si>
  <si>
    <t>wynagordzenia bezosobowe</t>
  </si>
  <si>
    <t>dotacja celowa z budżetu na finansowanie lub dofinansowanie zadań zleconych do realizacji stowarzyszeniom</t>
  </si>
  <si>
    <t>otrzymane spadki, zapisy i darowizny w postaci pieniężnej</t>
  </si>
  <si>
    <t>budowa placu zabaw przy 
Szkole Podstawowej nr 3</t>
  </si>
  <si>
    <t xml:space="preserve">Rady Miejskiej Trzcianki z dnia 25 marca 2010 r. </t>
  </si>
  <si>
    <t>Rady Miejskiej Trzcianki z dnia 25 marca 2010 r.</t>
  </si>
  <si>
    <t>stołówki szkolne i przedszkolne</t>
  </si>
  <si>
    <t>wpływy z opłat za zezwolenia na sprzedaż napojów alkoholowych</t>
  </si>
  <si>
    <t>grzywny, mandaty i inne kary pieniężne od osób fizycznych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</si>
  <si>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</si>
  <si>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</si>
  <si>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 materialna dla uczniów</t>
  </si>
  <si>
    <t>0360</t>
  </si>
  <si>
    <t>podatek od spadków i darowizn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</si>
  <si>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</si>
  <si>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</si>
  <si>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>Załącznik Nr 1 do Uchwały Nr XL/290/10</t>
  </si>
  <si>
    <t>Rady Miejskiej Trzcianki z dnia 22 kwietnia 2010 r. zmieniający</t>
  </si>
  <si>
    <t>Załącznik Nr 5 do Uchwały Nr XL/290/10</t>
  </si>
  <si>
    <t>Załącznik Nr 2 do Uchwały Nr XL/290/10</t>
  </si>
  <si>
    <t>Załącznik Nr 3 do Uchwały Nr XL/290/10</t>
  </si>
  <si>
    <t xml:space="preserve">Rady Miejskiej Trzcianki z dnia 22 kwietnia 2010 r. </t>
  </si>
  <si>
    <t>Rady Miejskiej Trzcianki z dnia 22 kwietnia 2010 r.</t>
  </si>
  <si>
    <t>dotacje celowe otrzymane z budżetu państwa na realizację inwestycji i zakupów inwestycyjnych własnych gmin (związków gmin)</t>
  </si>
  <si>
    <t>Załącznik Nr 1 do Zarządzenia Nr 52/10</t>
  </si>
  <si>
    <t>Burmistrza Trzcianki z dnia 12 maja 2010 r. zmieniający</t>
  </si>
  <si>
    <t>Załącznik Nr 2 do Zarządzenia Nr 52/10</t>
  </si>
  <si>
    <t>Załącznik Nr 3 do Zarządzenia Nr 52/10</t>
  </si>
  <si>
    <t>Załącznik Nr 4 do Zarządzenia Nr 52/10</t>
  </si>
  <si>
    <t>Załącznik Nr 5 do Zarządzenia Nr 52/10</t>
  </si>
  <si>
    <t>dotacja celowa na pomoc finansową udzielana między jednostkami samorządu terytorialnego na dofinansowanie własnych zadań bieżących</t>
  </si>
  <si>
    <t xml:space="preserve">Burmistrza Trzcianki z dnia 12 maja 2010 r. </t>
  </si>
  <si>
    <t>składki na Fundusz Emerytur Pomostowych</t>
  </si>
  <si>
    <t>dotacje otrzymane z państwowych funduszy celowych na realizację zadań bieżących jednosek sektora finansów publicznych</t>
  </si>
  <si>
    <t>Załącznik Nr 1 do uchwały Nr XLIII/295/10</t>
  </si>
  <si>
    <t>Rady Miejskiej Trzcianki z dnia 25 maja 2010 r. zmieniający</t>
  </si>
  <si>
    <t>Załącznik Nr 3 do Uchwały Nr XLIII/295/10</t>
  </si>
  <si>
    <t>Załącznik Nr 6 do uchwały Nr XLIII/295/10</t>
  </si>
  <si>
    <t>Załącznik Nr 2 do Uchwały Nr XLIII/295/10</t>
  </si>
  <si>
    <t>Wybory Prezydenta Rzeczypospolitej Polskiej</t>
  </si>
  <si>
    <t>zakup akcesoriów komputerowych, 
w tym programów i licencji</t>
  </si>
  <si>
    <t>Załącznik Nr 5 do Uchwały Nr XLIII/295/10</t>
  </si>
  <si>
    <t xml:space="preserve">Rady Miejskiej Trzcianki z dnia 25 maja 2010 r. </t>
  </si>
  <si>
    <t xml:space="preserve">Załącznik Nr 1 do zarządzenia Nr </t>
  </si>
  <si>
    <t>Burmistrza Trzcianki z dnia 17 czerwca 2010 r. zmieniający</t>
  </si>
  <si>
    <t xml:space="preserve">Załącznik Nr 4 do zarządzenia Nr </t>
  </si>
  <si>
    <t xml:space="preserve">Burmistrza Trzcianki z dnia 17 czerwca 2010 r. </t>
  </si>
  <si>
    <t>Załącznik Nr 2 do Zarządzenia Nr 77/10</t>
  </si>
  <si>
    <t>Załącznik Nr 1 do zarządzenia Nr 77/10</t>
  </si>
  <si>
    <t>Załącznik Nr 3 do Zarządzenia Nr 77/10</t>
  </si>
  <si>
    <t>Załącznik Nr 4 do zarządzenia Nr 77/10</t>
  </si>
  <si>
    <t>Rady Miejskiej Trzcianki z dnia 24 czerwca 2010 r. zmieniający</t>
  </si>
  <si>
    <t>budowa chodnika na ulicy Staszica w Białej</t>
  </si>
  <si>
    <t>Załącznik Nr 4 do Uchwały Nr XLIV/303/10</t>
  </si>
  <si>
    <t>Załącznik Nr 2 do Uchwały Nr XLIV/303/10</t>
  </si>
  <si>
    <t xml:space="preserve">Załącznik Nr 8 do Uchwały Nr XLIV/303/10 </t>
  </si>
  <si>
    <t>Załącznik Nr 9 do Uchwały Nr XLIV/303/10</t>
  </si>
  <si>
    <t>Załącznik Nr 1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</si>
  <si>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</si>
  <si>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</si>
  <si>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</si>
  <si>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Załącznik Nr 1 do Zarządzenia Nr 82/10 </t>
  </si>
  <si>
    <t xml:space="preserve">Załącznik Nr 3 do Zarządzenia Nr 82/10 </t>
  </si>
  <si>
    <t>Załącznik Nr 4 do Zarządzenia Nr 82/10</t>
  </si>
  <si>
    <t xml:space="preserve">Burmistrza Trzcianki z dnia 30 czerwca 2010 r. </t>
  </si>
  <si>
    <t>spis powszechny i inne</t>
  </si>
  <si>
    <t>Spis powszechny i inne</t>
  </si>
  <si>
    <t>inne formy pomocy dla uczniów</t>
  </si>
  <si>
    <t>Rady Miejskiej Trzcianki z dnia 22 lipca 2010 r. zmieniający</t>
  </si>
  <si>
    <t>Załącznik Nr 3 do uchwały Nr XLV/316/10</t>
  </si>
  <si>
    <t>Załącznik Nr 1 do Uchwały Nr XLV/316/10</t>
  </si>
  <si>
    <t>Załącznik Nr 6 do Uchwały Nr XLV/316/10</t>
  </si>
  <si>
    <t>Komendy powiatowe Policji</t>
  </si>
  <si>
    <t>zakup kserokopiarki dla Komisariatu Policji 
w Trzciance</t>
  </si>
  <si>
    <t>pomoc finansowa powiatowi czarnkowsko - trzcianeckiemu z przeznaczenime dla Zarzadu Dróg Powiatowych na wspólne finansowanie przebudowy chodnika przy drodze powiatowej 
nr 1332P: ulica 22 Lipca w Białej</t>
  </si>
  <si>
    <t>pomoc finansowa powiatowi czarnkowsko - trzcianeckiemu z przeznaczenime dla Zarzadu Dróg Powiatowych na wspólne finansowanie wykonanie chodnika przy drodze powiatowej 
nr 1328P w Łomnicy</t>
  </si>
  <si>
    <t>pomoc finansowa powiatowi czarnkowsko - trzcianeckiemu z przeznaczeniem dla Zarządu Dróg Powiatowych na wspólne finansowanie przebudowy chodnika przy drodze powiatowej 
w Radolinie</t>
  </si>
  <si>
    <t>budowa zjazdu z ul. Sikorskiego do bloków na 
ul. Sikorskiego 25-27</t>
  </si>
  <si>
    <t>I etap budowy ścieżki pieszo - rowerowej od przejazdu PKP i dalej  wzdłuż torów kolejowych 
i wiaduktu do ulicy asfaltowej przy cmentarzu komunalnym</t>
  </si>
  <si>
    <t>rezerwa na dofinansowanie zakupu samochodu dla Państwowej Straży Pożarnej w Czarnkowie dla Jednostki Ratowniczo - Gaśniczej 
w Trzciance</t>
  </si>
  <si>
    <t>zakup zamiatarki do boiska sztucznego 
(SP Nr 3)</t>
  </si>
  <si>
    <t>projekt techniczny sieci wodno - kanalizacyjnej 
w rejonie ulic Reymonta, Grottgera, Krzywoustego, Chrobrego, do jeziora Sarcz oraz osiedle Poniatowskiego</t>
  </si>
  <si>
    <t>Załącznik Nr 4 do Uchwały Nr XLV/316/10</t>
  </si>
  <si>
    <t>Załącznik Nr 2 do Uchwały Nr XLV/316/10</t>
  </si>
  <si>
    <t xml:space="preserve">Rady Miejskiej Trzcianki z dnia 22 lipca 2010 r. </t>
  </si>
  <si>
    <t>Burmistrza Trzcianki z dnia 30 lipca 2010 r. zmieniający</t>
  </si>
  <si>
    <t>Załącznik Nr 1 do Zarządzenia Nr 104/10</t>
  </si>
  <si>
    <t xml:space="preserve">Burmistrza Trzcianki z dnia 30 lipca 2010 r. </t>
  </si>
  <si>
    <t>zakup usług obejmujjących tłumaczenia</t>
  </si>
  <si>
    <t xml:space="preserve">Załącznik Nr 1 do Uchwały Nr XLVI/325/10 </t>
  </si>
  <si>
    <t>Rady Miejskiej Trzcianki z dnia 9 września 2010 r. zmieniający</t>
  </si>
  <si>
    <t>Załącznik Nr 2 do Uchwały Nr XLVI/325/10,</t>
  </si>
  <si>
    <t xml:space="preserve">Załącznik Nr 3 do Uchwały Nr XLVI/325/10 </t>
  </si>
  <si>
    <t>Załącznik Nr 6 do Uchwały Nr XLVI/325/10</t>
  </si>
  <si>
    <t>Załącznik Nr 5 do Uchwały Nr XLVI/325/10</t>
  </si>
  <si>
    <t>Rady Miejskiej Trzcianki z dnia 9 września 2010 r.</t>
  </si>
  <si>
    <t xml:space="preserve">Rady Miejskiej Trzcianki z dnia 9 września 2010 r. </t>
  </si>
  <si>
    <t>środki na dofinansowanie włąsnych zadań bieżących gmin (związków gmin), powiatów (związków powiatów), samorządów województw, pozyskane z innych źródeł</t>
  </si>
  <si>
    <t>pomoc materialna dla uczniów</t>
  </si>
  <si>
    <t>Rady Miejskiej Trzcianki z dnia 30 września 2010 r. zmieniający</t>
  </si>
  <si>
    <t>Załącznik Nr 1 do Uchwały Nr XLVII/332/10</t>
  </si>
  <si>
    <t>Załącznik Nr 2 do Uchwały Nr XLVII/332/10</t>
  </si>
  <si>
    <t>Załącznik Nr 5 do Uchwały Nr XLVII/332/10</t>
  </si>
  <si>
    <t>Załącznik Nr 3 do Uchwały Nr XLVII/332/10</t>
  </si>
  <si>
    <t>Załącznik Nr 6 do Uchwały Nr XLVII/332/10</t>
  </si>
  <si>
    <t xml:space="preserve">Rady Miejskiej Trzcianki z dnia 30 września 2010 r. </t>
  </si>
  <si>
    <t>Burmistrza Trzcianki z dnia 30 września 2010 r. zmieniający</t>
  </si>
  <si>
    <t>Załącznik Nr 1 do Zarządzenia Nr 130/10</t>
  </si>
  <si>
    <t>Załącznik Nr 2 do Zarządzenia Nr 130/10</t>
  </si>
  <si>
    <t>Burmistrza Trzcianki z dnia 30 września 2010 r.</t>
  </si>
  <si>
    <t xml:space="preserve">Burmistrza Trzcianki z dnia 30 września 2010 r. </t>
  </si>
  <si>
    <t>Wybory do rad gmin, rad powiatów i sejmików województw, wybory wójtów, burmistrzów i prezydentów miast oraz referenda gminne, powiatowe i wojewódzkie</t>
  </si>
  <si>
    <t>Załącznik Nr 6 do Zarządzenia Nr 19/10</t>
  </si>
  <si>
    <t>Załącznik Nr 7 do uchwały Nr XLIII/295/10</t>
  </si>
  <si>
    <t>Załącznik Nr 5 do uchwały Nr XLIV/303/10</t>
  </si>
  <si>
    <t>Załącznik Nr 5 do uchwały Nr XLV/316/10</t>
  </si>
  <si>
    <t>Załącznik Nr 9 do Uchwały Nr XXXVII/266/09</t>
  </si>
  <si>
    <t>Dochody i wydatki na rok 2010 z tytułu opłat za wydawanie zezwoleń na sprzedaż napojów alkoholowych oraz wydatki na realizację zadań określonych w programie profilaktyki i rozwiązywania problemów alkoholowych - plan na 2010 rok</t>
  </si>
  <si>
    <t xml:space="preserve">Dochody z tytułu opłat za wydawanie zezwoleń na sprzedaż napojów alkoholowych </t>
  </si>
  <si>
    <t>Dochody od osób prawnych, od osób fizycznych i od innych jednostek nie posiadających osobowości prawnej</t>
  </si>
  <si>
    <t xml:space="preserve">wpływy z innych opłat stanowiacych dochody jednostek samorządu terytorialnego na podstawie ustaw </t>
  </si>
  <si>
    <t>wpływy z opłat za wydawanie zezwoleń na sprzedaż alkoholu</t>
  </si>
  <si>
    <t xml:space="preserve">Wydatki na realizację zadań określonych w programie profilaktyki i rozwiązywania problemów alkoholowych </t>
  </si>
  <si>
    <t xml:space="preserve">      Ochrona zdrowia</t>
  </si>
  <si>
    <t xml:space="preserve">wynagrodzenia bezosobowe </t>
  </si>
  <si>
    <t>opłaty z tytułu zakupu usług telekomunikacyjnych telefonii stacjonarnej</t>
  </si>
  <si>
    <t>budowa chodnika na ulicy Spokojnej w Trzciance</t>
  </si>
  <si>
    <t>odsetki od nieterminowych wpłat z tytułu podatków i opłat</t>
  </si>
  <si>
    <t>Załącznik Nr 3 do Uchwały Nr XLIX/361/10</t>
  </si>
  <si>
    <t>Rady Miejskiej Trzcianki z dnia 4 listopada 2010 r. zmieniający</t>
  </si>
  <si>
    <t>Załącznik Nr 2 do Uchwały Nr XLIX/361/10</t>
  </si>
  <si>
    <t>Załącznik Nr 1 do Uchwały Nr XLIX/361/10</t>
  </si>
  <si>
    <t>Załącznik Nr 6 do Uchwały Nr XLIX/361/10</t>
  </si>
  <si>
    <t>Załącznik Nr 5 do Uchwały Nr XLIX/361/10</t>
  </si>
  <si>
    <t>rekompensaty utraconych dochodów w podatkach i opłatach lokalnych</t>
  </si>
  <si>
    <t>dotacje celowe otrzymane z budżetu państwa na irealizację nwestycji i zakupów inwestycyjnych własnych gmin (zwiazków gmin)</t>
  </si>
  <si>
    <t>Załącznik Nr 8 do uchwały Nr XLIX/361/10</t>
  </si>
  <si>
    <t>dotacje celowe otrzymane z budżetu państwa na realizację inwestycji i zakupów inwestycyjnych własnych gmin (zwiazków gmin)</t>
  </si>
  <si>
    <t xml:space="preserve">Rady Miejskiej Trzcianki z dnia 4 listopada 2010 r. </t>
  </si>
  <si>
    <t>Załącznik Nr 1 do Zarządzenia Nr 148/10</t>
  </si>
  <si>
    <t>Burmistrza Trzcianki z dnia 23 listopada 2010 r. zmieniający</t>
  </si>
  <si>
    <t>Załącznik Nr 2 do Zarządzenia Nr 148/10</t>
  </si>
  <si>
    <t>Załącznik Nr 3 do Zarządzenie Nr 148/10</t>
  </si>
  <si>
    <t>Załącznik Nr 5 do Zarządzenia Nr 148/10</t>
  </si>
  <si>
    <t>Załącznik Nr 4 do Zarządzenia Nr 148/10</t>
  </si>
  <si>
    <t>Załącznik Nr 6 do uchwały Nr XLIX/361/10</t>
  </si>
  <si>
    <t>Załącznik Nr 6 do Zarządzenia Nr 148/10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</si>
</sst>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0"/>
    </font>
    <font>
      <b/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54" fillId="0" borderId="1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56" fillId="0" borderId="0" xfId="0" applyNumberFormat="1" applyFont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6" fillId="0" borderId="0" xfId="0" applyFont="1" applyBorder="1" applyAlignment="1">
      <alignment/>
    </xf>
    <xf numFmtId="4" fontId="57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3" fillId="0" borderId="10" xfId="0" applyFont="1" applyFill="1" applyBorder="1" applyAlignment="1" quotePrefix="1">
      <alignment horizontal="center" vertical="center" wrapText="1"/>
    </xf>
    <xf numFmtId="4" fontId="5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53" fillId="33" borderId="10" xfId="0" applyFont="1" applyFill="1" applyBorder="1" applyAlignment="1" quotePrefix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00390625" style="6" bestFit="1" customWidth="1"/>
    <col min="4" max="4" width="34.00390625" style="6" customWidth="1"/>
    <col min="5" max="5" width="14.875" style="27" hidden="1" customWidth="1"/>
    <col min="6" max="6" width="9.875" style="27" hidden="1" customWidth="1"/>
    <col min="7" max="7" width="40.25390625" style="27" hidden="1" customWidth="1"/>
    <col min="8" max="8" width="6.875" style="27" hidden="1" customWidth="1"/>
    <col min="9" max="20" width="14.875" style="27" hidden="1" customWidth="1"/>
    <col min="21" max="21" width="43.25390625" style="27" hidden="1" customWidth="1"/>
    <col min="22" max="22" width="9.875" style="27" hidden="1" customWidth="1"/>
    <col min="23" max="23" width="42.25390625" style="27" hidden="1" customWidth="1"/>
    <col min="24" max="24" width="9.875" style="27" hidden="1" customWidth="1"/>
    <col min="25" max="25" width="44.875" style="27" hidden="1" customWidth="1"/>
    <col min="26" max="26" width="9.875" style="27" hidden="1" customWidth="1"/>
    <col min="27" max="27" width="45.75390625" style="27" hidden="1" customWidth="1"/>
    <col min="28" max="28" width="9.875" style="27" hidden="1" customWidth="1"/>
    <col min="29" max="30" width="14.875" style="27" hidden="1" customWidth="1"/>
    <col min="31" max="33" width="14.875" style="27" customWidth="1"/>
  </cols>
  <sheetData>
    <row r="1" spans="1:33" ht="12.75">
      <c r="A1" s="53"/>
      <c r="B1" s="53"/>
      <c r="C1" s="53"/>
      <c r="D1" s="53"/>
      <c r="E1" s="54" t="s">
        <v>303</v>
      </c>
      <c r="F1" s="54"/>
      <c r="G1" s="54" t="s">
        <v>317</v>
      </c>
      <c r="H1" s="54"/>
      <c r="I1" s="54" t="s">
        <v>352</v>
      </c>
      <c r="J1" s="54"/>
      <c r="K1" s="54" t="s">
        <v>369</v>
      </c>
      <c r="L1" s="54"/>
      <c r="M1" s="54" t="s">
        <v>377</v>
      </c>
      <c r="N1" s="54"/>
      <c r="O1" s="54" t="s">
        <v>387</v>
      </c>
      <c r="P1" s="54"/>
      <c r="Q1" s="54" t="s">
        <v>396</v>
      </c>
      <c r="R1" s="54"/>
      <c r="S1" s="54" t="s">
        <v>410</v>
      </c>
      <c r="T1" s="54"/>
      <c r="U1" s="54" t="s">
        <v>414</v>
      </c>
      <c r="V1" s="54"/>
      <c r="W1" s="54" t="s">
        <v>423</v>
      </c>
      <c r="X1" s="54"/>
      <c r="Y1" s="54" t="s">
        <v>442</v>
      </c>
      <c r="Z1" s="54"/>
      <c r="AA1" s="54" t="s">
        <v>453</v>
      </c>
      <c r="AB1" s="54"/>
      <c r="AC1" s="54" t="s">
        <v>484</v>
      </c>
      <c r="AD1" s="54"/>
      <c r="AE1" s="54" t="s">
        <v>492</v>
      </c>
      <c r="AF1" s="54"/>
      <c r="AG1" s="54"/>
    </row>
    <row r="2" spans="1:33" ht="12.75">
      <c r="A2" s="53"/>
      <c r="B2" s="53"/>
      <c r="C2" s="53"/>
      <c r="D2" s="53"/>
      <c r="E2" s="54" t="s">
        <v>304</v>
      </c>
      <c r="F2" s="54"/>
      <c r="G2" s="54" t="s">
        <v>315</v>
      </c>
      <c r="H2" s="54"/>
      <c r="I2" s="54" t="s">
        <v>348</v>
      </c>
      <c r="J2" s="54"/>
      <c r="K2" s="54" t="s">
        <v>370</v>
      </c>
      <c r="L2" s="54"/>
      <c r="M2" s="54" t="s">
        <v>378</v>
      </c>
      <c r="N2" s="54"/>
      <c r="O2" s="54" t="s">
        <v>388</v>
      </c>
      <c r="P2" s="54"/>
      <c r="Q2" s="54" t="s">
        <v>397</v>
      </c>
      <c r="R2" s="54"/>
      <c r="S2" s="54" t="s">
        <v>404</v>
      </c>
      <c r="T2" s="54"/>
      <c r="U2" s="54" t="s">
        <v>413</v>
      </c>
      <c r="V2" s="54"/>
      <c r="W2" s="54" t="s">
        <v>421</v>
      </c>
      <c r="X2" s="54"/>
      <c r="Y2" s="54" t="s">
        <v>443</v>
      </c>
      <c r="Z2" s="54"/>
      <c r="AA2" s="54" t="s">
        <v>452</v>
      </c>
      <c r="AB2" s="54"/>
      <c r="AC2" s="54" t="s">
        <v>482</v>
      </c>
      <c r="AD2" s="54"/>
      <c r="AE2" s="54" t="s">
        <v>493</v>
      </c>
      <c r="AF2" s="54"/>
      <c r="AG2" s="54"/>
    </row>
    <row r="3" spans="1:33" ht="12.75">
      <c r="A3" s="53"/>
      <c r="B3" s="53"/>
      <c r="C3" s="53"/>
      <c r="D3" s="53"/>
      <c r="E3" s="54" t="s">
        <v>305</v>
      </c>
      <c r="F3" s="54"/>
      <c r="G3" s="54" t="s">
        <v>303</v>
      </c>
      <c r="H3" s="54"/>
      <c r="I3" s="54" t="s">
        <v>317</v>
      </c>
      <c r="J3" s="54"/>
      <c r="K3" s="54" t="s">
        <v>352</v>
      </c>
      <c r="L3" s="54"/>
      <c r="M3" s="54" t="s">
        <v>369</v>
      </c>
      <c r="N3" s="54"/>
      <c r="O3" s="54" t="s">
        <v>377</v>
      </c>
      <c r="P3" s="54"/>
      <c r="Q3" s="54" t="s">
        <v>387</v>
      </c>
      <c r="R3" s="54"/>
      <c r="S3" s="54" t="s">
        <v>401</v>
      </c>
      <c r="T3" s="54"/>
      <c r="U3" s="54" t="s">
        <v>410</v>
      </c>
      <c r="V3" s="54"/>
      <c r="W3" s="54" t="s">
        <v>414</v>
      </c>
      <c r="X3" s="54"/>
      <c r="Y3" s="54" t="s">
        <v>423</v>
      </c>
      <c r="Z3" s="54"/>
      <c r="AA3" s="54" t="s">
        <v>442</v>
      </c>
      <c r="AB3" s="54"/>
      <c r="AC3" s="54" t="s">
        <v>453</v>
      </c>
      <c r="AD3" s="54"/>
      <c r="AE3" s="54" t="s">
        <v>484</v>
      </c>
      <c r="AF3" s="54"/>
      <c r="AG3" s="54"/>
    </row>
    <row r="4" spans="1:33" ht="12.75">
      <c r="A4" s="53"/>
      <c r="B4" s="53"/>
      <c r="C4" s="53"/>
      <c r="D4" s="53"/>
      <c r="E4" s="54" t="s">
        <v>306</v>
      </c>
      <c r="F4" s="54"/>
      <c r="G4" s="54" t="s">
        <v>311</v>
      </c>
      <c r="H4" s="54"/>
      <c r="I4" s="54" t="s">
        <v>326</v>
      </c>
      <c r="J4" s="54"/>
      <c r="K4" s="54" t="s">
        <v>357</v>
      </c>
      <c r="L4" s="54"/>
      <c r="M4" s="54" t="s">
        <v>374</v>
      </c>
      <c r="N4" s="54"/>
      <c r="O4" s="54" t="s">
        <v>384</v>
      </c>
      <c r="P4" s="54"/>
      <c r="Q4" s="54" t="s">
        <v>395</v>
      </c>
      <c r="R4" s="54"/>
      <c r="S4" s="54" t="s">
        <v>399</v>
      </c>
      <c r="T4" s="54"/>
      <c r="U4" s="54" t="s">
        <v>411</v>
      </c>
      <c r="V4" s="54"/>
      <c r="W4" s="54" t="s">
        <v>417</v>
      </c>
      <c r="X4" s="54"/>
      <c r="Y4" s="54" t="s">
        <v>437</v>
      </c>
      <c r="Z4" s="54"/>
      <c r="AA4" s="54" t="s">
        <v>448</v>
      </c>
      <c r="AB4" s="54"/>
      <c r="AC4" s="54" t="s">
        <v>458</v>
      </c>
      <c r="AD4" s="54"/>
      <c r="AE4" s="54" t="s">
        <v>491</v>
      </c>
      <c r="AF4" s="54"/>
      <c r="AG4" s="54"/>
    </row>
    <row r="5" spans="1:33" ht="18.75" customHeight="1">
      <c r="A5" s="121" t="s">
        <v>278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33" s="6" customFormat="1" ht="24.75" customHeight="1">
      <c r="A6" s="4" t="s">
        <v>0</v>
      </c>
      <c r="B6" s="3" t="s">
        <v>1</v>
      </c>
      <c r="C6" s="19" t="s">
        <v>2</v>
      </c>
      <c r="D6" s="4" t="s">
        <v>3</v>
      </c>
      <c r="E6" s="7" t="s">
        <v>141</v>
      </c>
      <c r="F6" s="7" t="s">
        <v>283</v>
      </c>
      <c r="G6" s="117" t="s">
        <v>142</v>
      </c>
      <c r="H6" s="7" t="s">
        <v>283</v>
      </c>
      <c r="I6" s="117" t="s">
        <v>323</v>
      </c>
      <c r="J6" s="7" t="s">
        <v>283</v>
      </c>
      <c r="K6" s="117" t="s">
        <v>142</v>
      </c>
      <c r="L6" s="7" t="s">
        <v>283</v>
      </c>
      <c r="M6" s="117" t="s">
        <v>142</v>
      </c>
      <c r="N6" s="7" t="s">
        <v>283</v>
      </c>
      <c r="O6" s="117" t="s">
        <v>142</v>
      </c>
      <c r="P6" s="7" t="s">
        <v>283</v>
      </c>
      <c r="Q6" s="117" t="s">
        <v>142</v>
      </c>
      <c r="R6" s="7" t="s">
        <v>283</v>
      </c>
      <c r="S6" s="117" t="s">
        <v>142</v>
      </c>
      <c r="T6" s="7" t="s">
        <v>283</v>
      </c>
      <c r="U6" s="117" t="s">
        <v>142</v>
      </c>
      <c r="V6" s="7" t="s">
        <v>283</v>
      </c>
      <c r="W6" s="117" t="s">
        <v>142</v>
      </c>
      <c r="X6" s="7" t="s">
        <v>283</v>
      </c>
      <c r="Y6" s="117" t="s">
        <v>141</v>
      </c>
      <c r="Z6" s="7" t="s">
        <v>283</v>
      </c>
      <c r="AA6" s="117" t="s">
        <v>142</v>
      </c>
      <c r="AB6" s="7" t="s">
        <v>283</v>
      </c>
      <c r="AC6" s="117" t="s">
        <v>142</v>
      </c>
      <c r="AD6" s="7" t="s">
        <v>283</v>
      </c>
      <c r="AE6" s="117" t="s">
        <v>142</v>
      </c>
      <c r="AF6" s="7" t="s">
        <v>283</v>
      </c>
      <c r="AG6" s="117" t="s">
        <v>300</v>
      </c>
    </row>
    <row r="7" spans="1:33" s="6" customFormat="1" ht="20.25" customHeight="1">
      <c r="A7" s="97" t="s">
        <v>4</v>
      </c>
      <c r="B7" s="3"/>
      <c r="C7" s="19"/>
      <c r="D7" s="118" t="s">
        <v>5</v>
      </c>
      <c r="E7" s="17">
        <f aca="true" t="shared" si="0" ref="E7:AG7">SUM(E8)</f>
        <v>639800</v>
      </c>
      <c r="F7" s="17">
        <f t="shared" si="0"/>
        <v>0</v>
      </c>
      <c r="G7" s="17">
        <f t="shared" si="0"/>
        <v>639800</v>
      </c>
      <c r="H7" s="17">
        <f t="shared" si="0"/>
        <v>0</v>
      </c>
      <c r="I7" s="17">
        <f t="shared" si="0"/>
        <v>639800</v>
      </c>
      <c r="J7" s="17">
        <f t="shared" si="0"/>
        <v>0</v>
      </c>
      <c r="K7" s="17">
        <f t="shared" si="0"/>
        <v>639800</v>
      </c>
      <c r="L7" s="17">
        <f t="shared" si="0"/>
        <v>0</v>
      </c>
      <c r="M7" s="17">
        <f t="shared" si="0"/>
        <v>639800</v>
      </c>
      <c r="N7" s="17">
        <f t="shared" si="0"/>
        <v>0</v>
      </c>
      <c r="O7" s="17">
        <f t="shared" si="0"/>
        <v>639800</v>
      </c>
      <c r="P7" s="17">
        <f t="shared" si="0"/>
        <v>271797</v>
      </c>
      <c r="Q7" s="17">
        <f t="shared" si="0"/>
        <v>911597</v>
      </c>
      <c r="R7" s="17">
        <f t="shared" si="0"/>
        <v>0</v>
      </c>
      <c r="S7" s="17">
        <f t="shared" si="0"/>
        <v>911597</v>
      </c>
      <c r="T7" s="17">
        <f t="shared" si="0"/>
        <v>0</v>
      </c>
      <c r="U7" s="17">
        <f t="shared" si="0"/>
        <v>911597</v>
      </c>
      <c r="V7" s="17">
        <f t="shared" si="0"/>
        <v>0</v>
      </c>
      <c r="W7" s="17">
        <f t="shared" si="0"/>
        <v>911597</v>
      </c>
      <c r="X7" s="17">
        <f t="shared" si="0"/>
        <v>0</v>
      </c>
      <c r="Y7" s="17">
        <f t="shared" si="0"/>
        <v>911597</v>
      </c>
      <c r="Z7" s="17">
        <f t="shared" si="0"/>
        <v>0</v>
      </c>
      <c r="AA7" s="17">
        <f t="shared" si="0"/>
        <v>911597</v>
      </c>
      <c r="AB7" s="17">
        <f t="shared" si="0"/>
        <v>0</v>
      </c>
      <c r="AC7" s="17">
        <f t="shared" si="0"/>
        <v>911597</v>
      </c>
      <c r="AD7" s="17">
        <f t="shared" si="0"/>
        <v>0</v>
      </c>
      <c r="AE7" s="17">
        <f t="shared" si="0"/>
        <v>911597</v>
      </c>
      <c r="AF7" s="17">
        <f t="shared" si="0"/>
        <v>297577</v>
      </c>
      <c r="AG7" s="17">
        <f t="shared" si="0"/>
        <v>1209174</v>
      </c>
    </row>
    <row r="8" spans="1:33" s="23" customFormat="1" ht="18.75" customHeight="1">
      <c r="A8" s="75"/>
      <c r="B8" s="73" t="s">
        <v>227</v>
      </c>
      <c r="C8" s="77"/>
      <c r="D8" s="119" t="s">
        <v>6</v>
      </c>
      <c r="E8" s="82">
        <f aca="true" t="shared" si="1" ref="E8:K8">SUM(E9:E10)</f>
        <v>639800</v>
      </c>
      <c r="F8" s="82">
        <f t="shared" si="1"/>
        <v>0</v>
      </c>
      <c r="G8" s="82">
        <f t="shared" si="1"/>
        <v>639800</v>
      </c>
      <c r="H8" s="82">
        <f t="shared" si="1"/>
        <v>0</v>
      </c>
      <c r="I8" s="82">
        <f t="shared" si="1"/>
        <v>639800</v>
      </c>
      <c r="J8" s="82">
        <f t="shared" si="1"/>
        <v>0</v>
      </c>
      <c r="K8" s="82">
        <f t="shared" si="1"/>
        <v>639800</v>
      </c>
      <c r="L8" s="82">
        <f>SUM(L9:L10)</f>
        <v>0</v>
      </c>
      <c r="M8" s="82">
        <f>SUM(M9:M10)</f>
        <v>639800</v>
      </c>
      <c r="N8" s="82">
        <f>SUM(N9:N10)</f>
        <v>0</v>
      </c>
      <c r="O8" s="82">
        <f aca="true" t="shared" si="2" ref="O8:U8">SUM(O9:O11)</f>
        <v>639800</v>
      </c>
      <c r="P8" s="82">
        <f t="shared" si="2"/>
        <v>271797</v>
      </c>
      <c r="Q8" s="82">
        <f t="shared" si="2"/>
        <v>911597</v>
      </c>
      <c r="R8" s="82">
        <f t="shared" si="2"/>
        <v>0</v>
      </c>
      <c r="S8" s="82">
        <f t="shared" si="2"/>
        <v>911597</v>
      </c>
      <c r="T8" s="82">
        <f t="shared" si="2"/>
        <v>0</v>
      </c>
      <c r="U8" s="82">
        <f t="shared" si="2"/>
        <v>911597</v>
      </c>
      <c r="V8" s="82">
        <f aca="true" t="shared" si="3" ref="V8:AA8">SUM(V9:V11)</f>
        <v>0</v>
      </c>
      <c r="W8" s="82">
        <f t="shared" si="3"/>
        <v>911597</v>
      </c>
      <c r="X8" s="82">
        <f t="shared" si="3"/>
        <v>0</v>
      </c>
      <c r="Y8" s="82">
        <f t="shared" si="3"/>
        <v>911597</v>
      </c>
      <c r="Z8" s="82">
        <f t="shared" si="3"/>
        <v>0</v>
      </c>
      <c r="AA8" s="82">
        <f t="shared" si="3"/>
        <v>911597</v>
      </c>
      <c r="AB8" s="82">
        <f aca="true" t="shared" si="4" ref="AB8:AG8">SUM(AB9:AB11)</f>
        <v>0</v>
      </c>
      <c r="AC8" s="82">
        <f t="shared" si="4"/>
        <v>911597</v>
      </c>
      <c r="AD8" s="82">
        <f t="shared" si="4"/>
        <v>0</v>
      </c>
      <c r="AE8" s="82">
        <f t="shared" si="4"/>
        <v>911597</v>
      </c>
      <c r="AF8" s="82">
        <f t="shared" si="4"/>
        <v>297577</v>
      </c>
      <c r="AG8" s="82">
        <f t="shared" si="4"/>
        <v>1209174</v>
      </c>
    </row>
    <row r="9" spans="1:33" s="23" customFormat="1" ht="73.5" customHeight="1">
      <c r="A9" s="75"/>
      <c r="B9" s="46"/>
      <c r="C9" s="76" t="s">
        <v>159</v>
      </c>
      <c r="D9" s="74" t="s">
        <v>54</v>
      </c>
      <c r="E9" s="82">
        <f>110000+9800</f>
        <v>119800</v>
      </c>
      <c r="F9" s="82"/>
      <c r="G9" s="82">
        <f>SUM(E9:F9)</f>
        <v>119800</v>
      </c>
      <c r="H9" s="82"/>
      <c r="I9" s="82">
        <f>SUM(G9:H9)</f>
        <v>119800</v>
      </c>
      <c r="J9" s="82"/>
      <c r="K9" s="82">
        <f>SUM(I9:J9)</f>
        <v>119800</v>
      </c>
      <c r="L9" s="82"/>
      <c r="M9" s="82">
        <f>SUM(K9:L9)</f>
        <v>119800</v>
      </c>
      <c r="N9" s="82"/>
      <c r="O9" s="82">
        <f>SUM(M9:N9)</f>
        <v>119800</v>
      </c>
      <c r="P9" s="82"/>
      <c r="Q9" s="82">
        <f>SUM(O9:P9)</f>
        <v>119800</v>
      </c>
      <c r="R9" s="82"/>
      <c r="S9" s="82">
        <f>SUM(Q9:R9)</f>
        <v>119800</v>
      </c>
      <c r="T9" s="82"/>
      <c r="U9" s="82">
        <f>SUM(S9:T9)</f>
        <v>119800</v>
      </c>
      <c r="V9" s="82"/>
      <c r="W9" s="82">
        <f>SUM(U9:V9)</f>
        <v>119800</v>
      </c>
      <c r="X9" s="82"/>
      <c r="Y9" s="82">
        <f>SUM(W9:X9)</f>
        <v>119800</v>
      </c>
      <c r="Z9" s="82"/>
      <c r="AA9" s="82">
        <f>SUM(Y9:Z9)</f>
        <v>119800</v>
      </c>
      <c r="AB9" s="82"/>
      <c r="AC9" s="82">
        <f>SUM(AA9:AB9)</f>
        <v>119800</v>
      </c>
      <c r="AD9" s="82"/>
      <c r="AE9" s="82">
        <f>SUM(AC9:AD9)</f>
        <v>119800</v>
      </c>
      <c r="AF9" s="82"/>
      <c r="AG9" s="82">
        <f>SUM(AE9:AF9)</f>
        <v>119800</v>
      </c>
    </row>
    <row r="10" spans="1:33" s="23" customFormat="1" ht="38.25" customHeight="1">
      <c r="A10" s="75"/>
      <c r="B10" s="46"/>
      <c r="C10" s="76" t="s">
        <v>228</v>
      </c>
      <c r="D10" s="74" t="s">
        <v>229</v>
      </c>
      <c r="E10" s="82">
        <v>520000</v>
      </c>
      <c r="F10" s="82"/>
      <c r="G10" s="82">
        <f>SUM(E10:F10)</f>
        <v>520000</v>
      </c>
      <c r="H10" s="82"/>
      <c r="I10" s="82">
        <f>SUM(G10:H10)</f>
        <v>520000</v>
      </c>
      <c r="J10" s="82"/>
      <c r="K10" s="82">
        <f>SUM(I10:J10)</f>
        <v>520000</v>
      </c>
      <c r="L10" s="82"/>
      <c r="M10" s="82">
        <f>SUM(K10:L10)</f>
        <v>520000</v>
      </c>
      <c r="N10" s="82"/>
      <c r="O10" s="82">
        <f>SUM(M10:N10)</f>
        <v>520000</v>
      </c>
      <c r="P10" s="82"/>
      <c r="Q10" s="82">
        <f>SUM(O10:P10)</f>
        <v>520000</v>
      </c>
      <c r="R10" s="82"/>
      <c r="S10" s="82">
        <f>SUM(Q10:R10)</f>
        <v>520000</v>
      </c>
      <c r="T10" s="82"/>
      <c r="U10" s="82">
        <f>SUM(S10:T10)</f>
        <v>520000</v>
      </c>
      <c r="V10" s="82"/>
      <c r="W10" s="82">
        <f>SUM(U10:V10)</f>
        <v>520000</v>
      </c>
      <c r="X10" s="82"/>
      <c r="Y10" s="82">
        <f>SUM(W10:X10)</f>
        <v>520000</v>
      </c>
      <c r="Z10" s="82"/>
      <c r="AA10" s="82">
        <f>SUM(Y10:Z10)</f>
        <v>520000</v>
      </c>
      <c r="AB10" s="82"/>
      <c r="AC10" s="82">
        <f>SUM(AA10:AB10)</f>
        <v>520000</v>
      </c>
      <c r="AD10" s="82"/>
      <c r="AE10" s="82">
        <f>SUM(AC10:AD10)</f>
        <v>520000</v>
      </c>
      <c r="AF10" s="82"/>
      <c r="AG10" s="82">
        <f>SUM(AE10:AF10)</f>
        <v>520000</v>
      </c>
    </row>
    <row r="11" spans="1:33" s="23" customFormat="1" ht="61.5" customHeight="1">
      <c r="A11" s="75"/>
      <c r="B11" s="46"/>
      <c r="C11" s="76">
        <v>2010</v>
      </c>
      <c r="D11" s="74" t="s">
        <v>210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>
        <v>0</v>
      </c>
      <c r="P11" s="82">
        <v>271797</v>
      </c>
      <c r="Q11" s="82">
        <f>SUM(O11:P11)</f>
        <v>271797</v>
      </c>
      <c r="R11" s="82"/>
      <c r="S11" s="82">
        <f>SUM(Q11:R11)</f>
        <v>271797</v>
      </c>
      <c r="T11" s="82"/>
      <c r="U11" s="82">
        <f>SUM(S11:T11)</f>
        <v>271797</v>
      </c>
      <c r="V11" s="82"/>
      <c r="W11" s="82">
        <f>SUM(U11:V11)</f>
        <v>271797</v>
      </c>
      <c r="X11" s="82"/>
      <c r="Y11" s="82">
        <f>SUM(W11:X11)</f>
        <v>271797</v>
      </c>
      <c r="Z11" s="82"/>
      <c r="AA11" s="82">
        <f>SUM(Y11:Z11)</f>
        <v>271797</v>
      </c>
      <c r="AB11" s="82"/>
      <c r="AC11" s="82">
        <f>SUM(AA11:AB11)</f>
        <v>271797</v>
      </c>
      <c r="AD11" s="82"/>
      <c r="AE11" s="82">
        <f>SUM(AC11:AD11)</f>
        <v>271797</v>
      </c>
      <c r="AF11" s="82">
        <v>297577</v>
      </c>
      <c r="AG11" s="82">
        <f>SUM(AE11:AF11)</f>
        <v>569374</v>
      </c>
    </row>
    <row r="12" spans="1:33" s="5" customFormat="1" ht="24.75" customHeight="1">
      <c r="A12" s="28" t="s">
        <v>8</v>
      </c>
      <c r="B12" s="1"/>
      <c r="C12" s="2"/>
      <c r="D12" s="29" t="s">
        <v>9</v>
      </c>
      <c r="E12" s="55">
        <f aca="true" t="shared" si="5" ref="E12:R12">SUM(E13,)</f>
        <v>4836700</v>
      </c>
      <c r="F12" s="55">
        <f t="shared" si="5"/>
        <v>0</v>
      </c>
      <c r="G12" s="55">
        <f t="shared" si="5"/>
        <v>4836700</v>
      </c>
      <c r="H12" s="55">
        <f t="shared" si="5"/>
        <v>0</v>
      </c>
      <c r="I12" s="55">
        <f t="shared" si="5"/>
        <v>4836700</v>
      </c>
      <c r="J12" s="55">
        <f t="shared" si="5"/>
        <v>30000</v>
      </c>
      <c r="K12" s="55">
        <f t="shared" si="5"/>
        <v>4866700</v>
      </c>
      <c r="L12" s="55">
        <f t="shared" si="5"/>
        <v>131000</v>
      </c>
      <c r="M12" s="55">
        <f t="shared" si="5"/>
        <v>4997700</v>
      </c>
      <c r="N12" s="55">
        <f t="shared" si="5"/>
        <v>0</v>
      </c>
      <c r="O12" s="55">
        <f t="shared" si="5"/>
        <v>4997700</v>
      </c>
      <c r="P12" s="55">
        <f t="shared" si="5"/>
        <v>0</v>
      </c>
      <c r="Q12" s="55">
        <f t="shared" si="5"/>
        <v>4997700</v>
      </c>
      <c r="R12" s="55">
        <f t="shared" si="5"/>
        <v>0</v>
      </c>
      <c r="S12" s="55">
        <f aca="true" t="shared" si="6" ref="S12:Y12">SUM(S13,S20)</f>
        <v>4997700</v>
      </c>
      <c r="T12" s="55">
        <f t="shared" si="6"/>
        <v>58000</v>
      </c>
      <c r="U12" s="55">
        <f t="shared" si="6"/>
        <v>5055700</v>
      </c>
      <c r="V12" s="55">
        <f t="shared" si="6"/>
        <v>0</v>
      </c>
      <c r="W12" s="55">
        <f t="shared" si="6"/>
        <v>5055700</v>
      </c>
      <c r="X12" s="55">
        <f t="shared" si="6"/>
        <v>94850</v>
      </c>
      <c r="Y12" s="55">
        <f t="shared" si="6"/>
        <v>5150550</v>
      </c>
      <c r="Z12" s="55">
        <f aca="true" t="shared" si="7" ref="Z12:AE12">SUM(Z13,Z20)</f>
        <v>0</v>
      </c>
      <c r="AA12" s="55">
        <f t="shared" si="7"/>
        <v>5150550</v>
      </c>
      <c r="AB12" s="55">
        <f t="shared" si="7"/>
        <v>0</v>
      </c>
      <c r="AC12" s="55">
        <f t="shared" si="7"/>
        <v>5150550</v>
      </c>
      <c r="AD12" s="55">
        <f t="shared" si="7"/>
        <v>0</v>
      </c>
      <c r="AE12" s="55">
        <f t="shared" si="7"/>
        <v>5150550</v>
      </c>
      <c r="AF12" s="55">
        <f>SUM(AF13,AF20)</f>
        <v>0</v>
      </c>
      <c r="AG12" s="55">
        <f>SUM(AG13,AG20)</f>
        <v>5150550</v>
      </c>
    </row>
    <row r="13" spans="1:33" s="23" customFormat="1" ht="25.5" customHeight="1">
      <c r="A13" s="69"/>
      <c r="B13" s="70" t="s">
        <v>10</v>
      </c>
      <c r="C13" s="77"/>
      <c r="D13" s="74" t="s">
        <v>146</v>
      </c>
      <c r="E13" s="68">
        <f>SUM(E14:E18)</f>
        <v>4836700</v>
      </c>
      <c r="F13" s="68">
        <f>SUM(F14:F18)</f>
        <v>0</v>
      </c>
      <c r="G13" s="68">
        <f>SUM(G14:G18)</f>
        <v>4836700</v>
      </c>
      <c r="H13" s="68">
        <f>SUM(H14:H18)</f>
        <v>0</v>
      </c>
      <c r="I13" s="68">
        <f aca="true" t="shared" si="8" ref="I13:O13">SUM(I14:I19)</f>
        <v>4836700</v>
      </c>
      <c r="J13" s="68">
        <f t="shared" si="8"/>
        <v>30000</v>
      </c>
      <c r="K13" s="68">
        <f t="shared" si="8"/>
        <v>4866700</v>
      </c>
      <c r="L13" s="68">
        <f t="shared" si="8"/>
        <v>131000</v>
      </c>
      <c r="M13" s="68">
        <f t="shared" si="8"/>
        <v>4997700</v>
      </c>
      <c r="N13" s="68">
        <f t="shared" si="8"/>
        <v>0</v>
      </c>
      <c r="O13" s="68">
        <f t="shared" si="8"/>
        <v>4997700</v>
      </c>
      <c r="P13" s="68">
        <f aca="true" t="shared" si="9" ref="P13:U13">SUM(P14:P19)</f>
        <v>0</v>
      </c>
      <c r="Q13" s="68">
        <f t="shared" si="9"/>
        <v>4997700</v>
      </c>
      <c r="R13" s="68">
        <f t="shared" si="9"/>
        <v>0</v>
      </c>
      <c r="S13" s="68">
        <f t="shared" si="9"/>
        <v>4997700</v>
      </c>
      <c r="T13" s="68">
        <f t="shared" si="9"/>
        <v>41800</v>
      </c>
      <c r="U13" s="68">
        <f t="shared" si="9"/>
        <v>5039500</v>
      </c>
      <c r="V13" s="68">
        <f aca="true" t="shared" si="10" ref="V13:AA13">SUM(V14:V19)</f>
        <v>0</v>
      </c>
      <c r="W13" s="68">
        <f t="shared" si="10"/>
        <v>5039500</v>
      </c>
      <c r="X13" s="68">
        <f t="shared" si="10"/>
        <v>94850</v>
      </c>
      <c r="Y13" s="68">
        <f t="shared" si="10"/>
        <v>5134350</v>
      </c>
      <c r="Z13" s="68">
        <f t="shared" si="10"/>
        <v>0</v>
      </c>
      <c r="AA13" s="68">
        <f t="shared" si="10"/>
        <v>5134350</v>
      </c>
      <c r="AB13" s="68">
        <f aca="true" t="shared" si="11" ref="AB13:AG13">SUM(AB14:AB19)</f>
        <v>0</v>
      </c>
      <c r="AC13" s="68">
        <f t="shared" si="11"/>
        <v>5134350</v>
      </c>
      <c r="AD13" s="68">
        <f t="shared" si="11"/>
        <v>0</v>
      </c>
      <c r="AE13" s="68">
        <f t="shared" si="11"/>
        <v>5134350</v>
      </c>
      <c r="AF13" s="68">
        <f t="shared" si="11"/>
        <v>0</v>
      </c>
      <c r="AG13" s="68">
        <f t="shared" si="11"/>
        <v>5134350</v>
      </c>
    </row>
    <row r="14" spans="1:33" s="23" customFormat="1" ht="32.25" customHeight="1">
      <c r="A14" s="69"/>
      <c r="B14" s="46"/>
      <c r="C14" s="76" t="s">
        <v>158</v>
      </c>
      <c r="D14" s="74" t="s">
        <v>209</v>
      </c>
      <c r="E14" s="68">
        <v>120000</v>
      </c>
      <c r="F14" s="68"/>
      <c r="G14" s="68">
        <f>SUM(E14:F14)</f>
        <v>120000</v>
      </c>
      <c r="H14" s="68"/>
      <c r="I14" s="68">
        <f>SUM(G14:H14)</f>
        <v>120000</v>
      </c>
      <c r="J14" s="68"/>
      <c r="K14" s="68">
        <f aca="true" t="shared" si="12" ref="K14:K19">SUM(I14:J14)</f>
        <v>120000</v>
      </c>
      <c r="L14" s="68"/>
      <c r="M14" s="68">
        <f aca="true" t="shared" si="13" ref="M14:M19">SUM(K14:L14)</f>
        <v>120000</v>
      </c>
      <c r="N14" s="68"/>
      <c r="O14" s="68">
        <f aca="true" t="shared" si="14" ref="O14:O19">SUM(M14:N14)</f>
        <v>120000</v>
      </c>
      <c r="P14" s="68"/>
      <c r="Q14" s="68">
        <f aca="true" t="shared" si="15" ref="Q14:Q19">SUM(O14:P14)</f>
        <v>120000</v>
      </c>
      <c r="R14" s="68"/>
      <c r="S14" s="68">
        <f aca="true" t="shared" si="16" ref="S14:S19">SUM(Q14:R14)</f>
        <v>120000</v>
      </c>
      <c r="T14" s="68"/>
      <c r="U14" s="68">
        <f aca="true" t="shared" si="17" ref="U14:U21">SUM(S14:T14)</f>
        <v>120000</v>
      </c>
      <c r="V14" s="68"/>
      <c r="W14" s="68">
        <f aca="true" t="shared" si="18" ref="W14:W19">SUM(U14:V14)</f>
        <v>120000</v>
      </c>
      <c r="X14" s="68">
        <v>42000</v>
      </c>
      <c r="Y14" s="68">
        <f aca="true" t="shared" si="19" ref="Y14:Y19">SUM(W14:X14)</f>
        <v>162000</v>
      </c>
      <c r="Z14" s="68"/>
      <c r="AA14" s="68">
        <f aca="true" t="shared" si="20" ref="AA14:AA19">SUM(Y14:Z14)</f>
        <v>162000</v>
      </c>
      <c r="AB14" s="68"/>
      <c r="AC14" s="68">
        <f aca="true" t="shared" si="21" ref="AC14:AC19">SUM(AA14:AB14)</f>
        <v>162000</v>
      </c>
      <c r="AD14" s="68"/>
      <c r="AE14" s="68">
        <f aca="true" t="shared" si="22" ref="AE14:AE19">SUM(AC14:AD14)</f>
        <v>162000</v>
      </c>
      <c r="AF14" s="68"/>
      <c r="AG14" s="68">
        <f aca="true" t="shared" si="23" ref="AG14:AG19">SUM(AE14:AF14)</f>
        <v>162000</v>
      </c>
    </row>
    <row r="15" spans="1:33" s="23" customFormat="1" ht="72" customHeight="1">
      <c r="A15" s="69"/>
      <c r="B15" s="46"/>
      <c r="C15" s="71" t="s">
        <v>159</v>
      </c>
      <c r="D15" s="74" t="s">
        <v>54</v>
      </c>
      <c r="E15" s="68">
        <f>1850000+16000+82000+8000+4000</f>
        <v>1960000</v>
      </c>
      <c r="F15" s="68"/>
      <c r="G15" s="68">
        <f>SUM(E15:F15)</f>
        <v>1960000</v>
      </c>
      <c r="H15" s="68"/>
      <c r="I15" s="68">
        <f>SUM(G15:H15)</f>
        <v>1960000</v>
      </c>
      <c r="J15" s="68"/>
      <c r="K15" s="68">
        <f t="shared" si="12"/>
        <v>1960000</v>
      </c>
      <c r="L15" s="68"/>
      <c r="M15" s="68">
        <f t="shared" si="13"/>
        <v>1960000</v>
      </c>
      <c r="N15" s="68"/>
      <c r="O15" s="68">
        <f t="shared" si="14"/>
        <v>1960000</v>
      </c>
      <c r="P15" s="68"/>
      <c r="Q15" s="68">
        <f t="shared" si="15"/>
        <v>1960000</v>
      </c>
      <c r="R15" s="68"/>
      <c r="S15" s="68">
        <f t="shared" si="16"/>
        <v>1960000</v>
      </c>
      <c r="T15" s="68"/>
      <c r="U15" s="68">
        <f t="shared" si="17"/>
        <v>1960000</v>
      </c>
      <c r="V15" s="68"/>
      <c r="W15" s="68">
        <f t="shared" si="18"/>
        <v>1960000</v>
      </c>
      <c r="X15" s="68"/>
      <c r="Y15" s="68">
        <f t="shared" si="19"/>
        <v>1960000</v>
      </c>
      <c r="Z15" s="68"/>
      <c r="AA15" s="68">
        <f t="shared" si="20"/>
        <v>1960000</v>
      </c>
      <c r="AB15" s="68"/>
      <c r="AC15" s="68">
        <f t="shared" si="21"/>
        <v>1960000</v>
      </c>
      <c r="AD15" s="68"/>
      <c r="AE15" s="68">
        <f t="shared" si="22"/>
        <v>1960000</v>
      </c>
      <c r="AF15" s="68"/>
      <c r="AG15" s="68">
        <f t="shared" si="23"/>
        <v>1960000</v>
      </c>
    </row>
    <row r="16" spans="1:33" s="23" customFormat="1" ht="45">
      <c r="A16" s="69"/>
      <c r="B16" s="46"/>
      <c r="C16" s="71" t="s">
        <v>220</v>
      </c>
      <c r="D16" s="74" t="s">
        <v>235</v>
      </c>
      <c r="E16" s="68">
        <v>30000</v>
      </c>
      <c r="F16" s="68"/>
      <c r="G16" s="68">
        <f>SUM(E16:F16)</f>
        <v>30000</v>
      </c>
      <c r="H16" s="68"/>
      <c r="I16" s="68">
        <f>SUM(G16:H16)</f>
        <v>30000</v>
      </c>
      <c r="J16" s="68"/>
      <c r="K16" s="68">
        <f t="shared" si="12"/>
        <v>30000</v>
      </c>
      <c r="L16" s="68">
        <f>177000-46000</f>
        <v>131000</v>
      </c>
      <c r="M16" s="68">
        <f t="shared" si="13"/>
        <v>161000</v>
      </c>
      <c r="N16" s="68"/>
      <c r="O16" s="68">
        <f t="shared" si="14"/>
        <v>161000</v>
      </c>
      <c r="P16" s="68"/>
      <c r="Q16" s="68">
        <f t="shared" si="15"/>
        <v>161000</v>
      </c>
      <c r="R16" s="68"/>
      <c r="S16" s="68">
        <f t="shared" si="16"/>
        <v>161000</v>
      </c>
      <c r="T16" s="68"/>
      <c r="U16" s="68">
        <f t="shared" si="17"/>
        <v>161000</v>
      </c>
      <c r="V16" s="68"/>
      <c r="W16" s="68">
        <f t="shared" si="18"/>
        <v>161000</v>
      </c>
      <c r="X16" s="68">
        <v>52850</v>
      </c>
      <c r="Y16" s="68">
        <f t="shared" si="19"/>
        <v>213850</v>
      </c>
      <c r="Z16" s="68"/>
      <c r="AA16" s="68">
        <f t="shared" si="20"/>
        <v>213850</v>
      </c>
      <c r="AB16" s="68"/>
      <c r="AC16" s="68">
        <f t="shared" si="21"/>
        <v>213850</v>
      </c>
      <c r="AD16" s="68">
        <v>300000</v>
      </c>
      <c r="AE16" s="68">
        <f t="shared" si="22"/>
        <v>513850</v>
      </c>
      <c r="AF16" s="68"/>
      <c r="AG16" s="68">
        <f t="shared" si="23"/>
        <v>513850</v>
      </c>
    </row>
    <row r="17" spans="1:33" s="23" customFormat="1" ht="33.75">
      <c r="A17" s="69"/>
      <c r="B17" s="46"/>
      <c r="C17" s="71" t="s">
        <v>228</v>
      </c>
      <c r="D17" s="74" t="s">
        <v>229</v>
      </c>
      <c r="E17" s="68">
        <f>150000+450000+1300000+800000+9900+4800+2000</f>
        <v>2716700</v>
      </c>
      <c r="F17" s="68"/>
      <c r="G17" s="68">
        <f>SUM(E17:F17)</f>
        <v>2716700</v>
      </c>
      <c r="H17" s="68"/>
      <c r="I17" s="68">
        <f>SUM(G17:H17)</f>
        <v>2716700</v>
      </c>
      <c r="J17" s="68"/>
      <c r="K17" s="68">
        <f t="shared" si="12"/>
        <v>2716700</v>
      </c>
      <c r="L17" s="68"/>
      <c r="M17" s="68">
        <f t="shared" si="13"/>
        <v>2716700</v>
      </c>
      <c r="N17" s="68"/>
      <c r="O17" s="68">
        <f t="shared" si="14"/>
        <v>2716700</v>
      </c>
      <c r="P17" s="68"/>
      <c r="Q17" s="68">
        <f t="shared" si="15"/>
        <v>2716700</v>
      </c>
      <c r="R17" s="68"/>
      <c r="S17" s="68">
        <f t="shared" si="16"/>
        <v>2716700</v>
      </c>
      <c r="T17" s="68">
        <v>41800</v>
      </c>
      <c r="U17" s="68">
        <f t="shared" si="17"/>
        <v>2758500</v>
      </c>
      <c r="V17" s="68"/>
      <c r="W17" s="68">
        <f t="shared" si="18"/>
        <v>2758500</v>
      </c>
      <c r="X17" s="68"/>
      <c r="Y17" s="68">
        <f t="shared" si="19"/>
        <v>2758500</v>
      </c>
      <c r="Z17" s="68"/>
      <c r="AA17" s="68">
        <f t="shared" si="20"/>
        <v>2758500</v>
      </c>
      <c r="AB17" s="68"/>
      <c r="AC17" s="68">
        <f t="shared" si="21"/>
        <v>2758500</v>
      </c>
      <c r="AD17" s="68">
        <v>-300000</v>
      </c>
      <c r="AE17" s="68">
        <f t="shared" si="22"/>
        <v>2458500</v>
      </c>
      <c r="AF17" s="68"/>
      <c r="AG17" s="68">
        <f t="shared" si="23"/>
        <v>2458500</v>
      </c>
    </row>
    <row r="18" spans="1:33" s="23" customFormat="1" ht="21" customHeight="1">
      <c r="A18" s="69"/>
      <c r="B18" s="46"/>
      <c r="C18" s="71" t="s">
        <v>160</v>
      </c>
      <c r="D18" s="74" t="s">
        <v>11</v>
      </c>
      <c r="E18" s="68">
        <v>10000</v>
      </c>
      <c r="F18" s="68"/>
      <c r="G18" s="68">
        <f>SUM(E18:F18)</f>
        <v>10000</v>
      </c>
      <c r="H18" s="68"/>
      <c r="I18" s="68">
        <f>SUM(G18:H18)</f>
        <v>10000</v>
      </c>
      <c r="J18" s="68"/>
      <c r="K18" s="68">
        <f t="shared" si="12"/>
        <v>10000</v>
      </c>
      <c r="L18" s="68"/>
      <c r="M18" s="68">
        <f t="shared" si="13"/>
        <v>10000</v>
      </c>
      <c r="N18" s="68"/>
      <c r="O18" s="68">
        <f t="shared" si="14"/>
        <v>10000</v>
      </c>
      <c r="P18" s="68"/>
      <c r="Q18" s="68">
        <f t="shared" si="15"/>
        <v>10000</v>
      </c>
      <c r="R18" s="68"/>
      <c r="S18" s="68">
        <f t="shared" si="16"/>
        <v>10000</v>
      </c>
      <c r="T18" s="68"/>
      <c r="U18" s="68">
        <f t="shared" si="17"/>
        <v>10000</v>
      </c>
      <c r="V18" s="68"/>
      <c r="W18" s="68">
        <f t="shared" si="18"/>
        <v>10000</v>
      </c>
      <c r="X18" s="68"/>
      <c r="Y18" s="68">
        <f t="shared" si="19"/>
        <v>10000</v>
      </c>
      <c r="Z18" s="68"/>
      <c r="AA18" s="68">
        <f t="shared" si="20"/>
        <v>10000</v>
      </c>
      <c r="AB18" s="68"/>
      <c r="AC18" s="68">
        <f t="shared" si="21"/>
        <v>10000</v>
      </c>
      <c r="AD18" s="68"/>
      <c r="AE18" s="68">
        <f t="shared" si="22"/>
        <v>10000</v>
      </c>
      <c r="AF18" s="68"/>
      <c r="AG18" s="68">
        <f t="shared" si="23"/>
        <v>10000</v>
      </c>
    </row>
    <row r="19" spans="1:33" s="23" customFormat="1" ht="22.5">
      <c r="A19" s="69"/>
      <c r="B19" s="46"/>
      <c r="C19" s="71" t="s">
        <v>346</v>
      </c>
      <c r="D19" s="74" t="s">
        <v>355</v>
      </c>
      <c r="E19" s="68"/>
      <c r="F19" s="68"/>
      <c r="G19" s="68"/>
      <c r="H19" s="68"/>
      <c r="I19" s="68">
        <v>0</v>
      </c>
      <c r="J19" s="68">
        <v>30000</v>
      </c>
      <c r="K19" s="68">
        <f t="shared" si="12"/>
        <v>30000</v>
      </c>
      <c r="L19" s="68"/>
      <c r="M19" s="68">
        <f t="shared" si="13"/>
        <v>30000</v>
      </c>
      <c r="N19" s="68"/>
      <c r="O19" s="68">
        <f t="shared" si="14"/>
        <v>30000</v>
      </c>
      <c r="P19" s="68"/>
      <c r="Q19" s="68">
        <f t="shared" si="15"/>
        <v>30000</v>
      </c>
      <c r="R19" s="68"/>
      <c r="S19" s="68">
        <f t="shared" si="16"/>
        <v>30000</v>
      </c>
      <c r="T19" s="68"/>
      <c r="U19" s="68">
        <f t="shared" si="17"/>
        <v>30000</v>
      </c>
      <c r="V19" s="68"/>
      <c r="W19" s="68">
        <f t="shared" si="18"/>
        <v>30000</v>
      </c>
      <c r="X19" s="68"/>
      <c r="Y19" s="68">
        <f t="shared" si="19"/>
        <v>30000</v>
      </c>
      <c r="Z19" s="68"/>
      <c r="AA19" s="68">
        <f t="shared" si="20"/>
        <v>30000</v>
      </c>
      <c r="AB19" s="68"/>
      <c r="AC19" s="68">
        <f t="shared" si="21"/>
        <v>30000</v>
      </c>
      <c r="AD19" s="68"/>
      <c r="AE19" s="68">
        <f t="shared" si="22"/>
        <v>30000</v>
      </c>
      <c r="AF19" s="68"/>
      <c r="AG19" s="68">
        <f t="shared" si="23"/>
        <v>30000</v>
      </c>
    </row>
    <row r="20" spans="1:33" s="23" customFormat="1" ht="21.75" customHeight="1">
      <c r="A20" s="69"/>
      <c r="B20" s="46">
        <v>70095</v>
      </c>
      <c r="C20" s="71"/>
      <c r="D20" s="74" t="s">
        <v>6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>
        <f aca="true" t="shared" si="24" ref="S20:AG20">SUM(S21)</f>
        <v>0</v>
      </c>
      <c r="T20" s="68">
        <f t="shared" si="24"/>
        <v>16200</v>
      </c>
      <c r="U20" s="68">
        <f t="shared" si="24"/>
        <v>16200</v>
      </c>
      <c r="V20" s="68">
        <f t="shared" si="24"/>
        <v>0</v>
      </c>
      <c r="W20" s="68">
        <f t="shared" si="24"/>
        <v>16200</v>
      </c>
      <c r="X20" s="68">
        <f t="shared" si="24"/>
        <v>0</v>
      </c>
      <c r="Y20" s="68">
        <f t="shared" si="24"/>
        <v>16200</v>
      </c>
      <c r="Z20" s="68">
        <f t="shared" si="24"/>
        <v>0</v>
      </c>
      <c r="AA20" s="68">
        <f t="shared" si="24"/>
        <v>16200</v>
      </c>
      <c r="AB20" s="68">
        <f t="shared" si="24"/>
        <v>0</v>
      </c>
      <c r="AC20" s="68">
        <f t="shared" si="24"/>
        <v>16200</v>
      </c>
      <c r="AD20" s="68">
        <f t="shared" si="24"/>
        <v>0</v>
      </c>
      <c r="AE20" s="68">
        <f t="shared" si="24"/>
        <v>16200</v>
      </c>
      <c r="AF20" s="68">
        <f t="shared" si="24"/>
        <v>0</v>
      </c>
      <c r="AG20" s="68">
        <f t="shared" si="24"/>
        <v>16200</v>
      </c>
    </row>
    <row r="21" spans="1:33" s="23" customFormat="1" ht="21.75" customHeight="1">
      <c r="A21" s="69"/>
      <c r="B21" s="46"/>
      <c r="C21" s="71" t="s">
        <v>161</v>
      </c>
      <c r="D21" s="74" t="s">
        <v>12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>
        <v>0</v>
      </c>
      <c r="T21" s="68">
        <v>16200</v>
      </c>
      <c r="U21" s="68">
        <f t="shared" si="17"/>
        <v>16200</v>
      </c>
      <c r="V21" s="68"/>
      <c r="W21" s="68">
        <f>SUM(U21:V21)</f>
        <v>16200</v>
      </c>
      <c r="X21" s="68"/>
      <c r="Y21" s="68">
        <f>SUM(W21:X21)</f>
        <v>16200</v>
      </c>
      <c r="Z21" s="68"/>
      <c r="AA21" s="68">
        <f>SUM(Y21:Z21)</f>
        <v>16200</v>
      </c>
      <c r="AB21" s="68"/>
      <c r="AC21" s="68">
        <f>SUM(AA21:AB21)</f>
        <v>16200</v>
      </c>
      <c r="AD21" s="68"/>
      <c r="AE21" s="68">
        <f>SUM(AC21:AD21)</f>
        <v>16200</v>
      </c>
      <c r="AF21" s="68"/>
      <c r="AG21" s="68">
        <f>SUM(AE21:AF21)</f>
        <v>16200</v>
      </c>
    </row>
    <row r="22" spans="1:33" s="5" customFormat="1" ht="21" customHeight="1">
      <c r="A22" s="28" t="s">
        <v>15</v>
      </c>
      <c r="B22" s="1"/>
      <c r="C22" s="2"/>
      <c r="D22" s="29" t="s">
        <v>16</v>
      </c>
      <c r="E22" s="55">
        <f aca="true" t="shared" si="25" ref="E22:K22">SUM(E23,E25)</f>
        <v>168600</v>
      </c>
      <c r="F22" s="55">
        <f t="shared" si="25"/>
        <v>0</v>
      </c>
      <c r="G22" s="55">
        <f t="shared" si="25"/>
        <v>168600</v>
      </c>
      <c r="H22" s="55">
        <f t="shared" si="25"/>
        <v>0</v>
      </c>
      <c r="I22" s="55">
        <f t="shared" si="25"/>
        <v>168600</v>
      </c>
      <c r="J22" s="55">
        <f t="shared" si="25"/>
        <v>0</v>
      </c>
      <c r="K22" s="55">
        <f t="shared" si="25"/>
        <v>168600</v>
      </c>
      <c r="L22" s="55">
        <f aca="true" t="shared" si="26" ref="L22:Q22">SUM(L23,L25)</f>
        <v>0</v>
      </c>
      <c r="M22" s="55">
        <f t="shared" si="26"/>
        <v>168600</v>
      </c>
      <c r="N22" s="55">
        <f t="shared" si="26"/>
        <v>0</v>
      </c>
      <c r="O22" s="55">
        <f t="shared" si="26"/>
        <v>168600</v>
      </c>
      <c r="P22" s="55">
        <f t="shared" si="26"/>
        <v>0</v>
      </c>
      <c r="Q22" s="55">
        <f t="shared" si="26"/>
        <v>168600</v>
      </c>
      <c r="R22" s="55">
        <f>SUM(R23,R25)</f>
        <v>0</v>
      </c>
      <c r="S22" s="55">
        <f>SUM(S23,S25)</f>
        <v>168600</v>
      </c>
      <c r="T22" s="55">
        <f>SUM(T23,T25)</f>
        <v>0</v>
      </c>
      <c r="U22" s="55">
        <f>SUM(U23,U25)</f>
        <v>168600</v>
      </c>
      <c r="V22" s="55">
        <f>SUM(V23,V25)</f>
        <v>0</v>
      </c>
      <c r="W22" s="55">
        <f aca="true" t="shared" si="27" ref="W22:AC22">SUM(W23,W25,W27)</f>
        <v>168600</v>
      </c>
      <c r="X22" s="55">
        <f t="shared" si="27"/>
        <v>14329</v>
      </c>
      <c r="Y22" s="55">
        <f t="shared" si="27"/>
        <v>182929</v>
      </c>
      <c r="Z22" s="55">
        <f t="shared" si="27"/>
        <v>0</v>
      </c>
      <c r="AA22" s="55">
        <f t="shared" si="27"/>
        <v>182929</v>
      </c>
      <c r="AB22" s="55">
        <f t="shared" si="27"/>
        <v>2134</v>
      </c>
      <c r="AC22" s="55">
        <f t="shared" si="27"/>
        <v>185063</v>
      </c>
      <c r="AD22" s="55">
        <f>SUM(AD23,AD25,AD27)</f>
        <v>2000</v>
      </c>
      <c r="AE22" s="55">
        <f>SUM(AE23,AE25,AE27)</f>
        <v>187063</v>
      </c>
      <c r="AF22" s="55">
        <f>SUM(AF23,AF25,AF27)</f>
        <v>0</v>
      </c>
      <c r="AG22" s="55">
        <f>SUM(AG23,AG25,AG27)</f>
        <v>187063</v>
      </c>
    </row>
    <row r="23" spans="1:33" s="23" customFormat="1" ht="18.75" customHeight="1">
      <c r="A23" s="69"/>
      <c r="B23" s="70">
        <v>75011</v>
      </c>
      <c r="C23" s="77"/>
      <c r="D23" s="74" t="s">
        <v>17</v>
      </c>
      <c r="E23" s="68">
        <f aca="true" t="shared" si="28" ref="E23:AG23">SUM(E24:E24)</f>
        <v>156600</v>
      </c>
      <c r="F23" s="68">
        <f t="shared" si="28"/>
        <v>0</v>
      </c>
      <c r="G23" s="68">
        <f t="shared" si="28"/>
        <v>156600</v>
      </c>
      <c r="H23" s="68">
        <f t="shared" si="28"/>
        <v>0</v>
      </c>
      <c r="I23" s="68">
        <f t="shared" si="28"/>
        <v>156600</v>
      </c>
      <c r="J23" s="68">
        <f t="shared" si="28"/>
        <v>0</v>
      </c>
      <c r="K23" s="68">
        <f t="shared" si="28"/>
        <v>156600</v>
      </c>
      <c r="L23" s="68">
        <f t="shared" si="28"/>
        <v>0</v>
      </c>
      <c r="M23" s="68">
        <f t="shared" si="28"/>
        <v>156600</v>
      </c>
      <c r="N23" s="68">
        <f t="shared" si="28"/>
        <v>0</v>
      </c>
      <c r="O23" s="68">
        <f t="shared" si="28"/>
        <v>156600</v>
      </c>
      <c r="P23" s="68">
        <f t="shared" si="28"/>
        <v>0</v>
      </c>
      <c r="Q23" s="68">
        <f t="shared" si="28"/>
        <v>156600</v>
      </c>
      <c r="R23" s="68">
        <f t="shared" si="28"/>
        <v>0</v>
      </c>
      <c r="S23" s="68">
        <f t="shared" si="28"/>
        <v>156600</v>
      </c>
      <c r="T23" s="68">
        <f t="shared" si="28"/>
        <v>0</v>
      </c>
      <c r="U23" s="68">
        <f t="shared" si="28"/>
        <v>156600</v>
      </c>
      <c r="V23" s="68">
        <f t="shared" si="28"/>
        <v>0</v>
      </c>
      <c r="W23" s="68">
        <f t="shared" si="28"/>
        <v>156600</v>
      </c>
      <c r="X23" s="68">
        <f t="shared" si="28"/>
        <v>0</v>
      </c>
      <c r="Y23" s="68">
        <f t="shared" si="28"/>
        <v>156600</v>
      </c>
      <c r="Z23" s="68">
        <f t="shared" si="28"/>
        <v>0</v>
      </c>
      <c r="AA23" s="68">
        <f t="shared" si="28"/>
        <v>156600</v>
      </c>
      <c r="AB23" s="68">
        <f t="shared" si="28"/>
        <v>0</v>
      </c>
      <c r="AC23" s="68">
        <f t="shared" si="28"/>
        <v>156600</v>
      </c>
      <c r="AD23" s="68">
        <f t="shared" si="28"/>
        <v>0</v>
      </c>
      <c r="AE23" s="68">
        <f t="shared" si="28"/>
        <v>156600</v>
      </c>
      <c r="AF23" s="68">
        <f t="shared" si="28"/>
        <v>0</v>
      </c>
      <c r="AG23" s="68">
        <f t="shared" si="28"/>
        <v>156600</v>
      </c>
    </row>
    <row r="24" spans="1:33" s="23" customFormat="1" ht="56.25">
      <c r="A24" s="69"/>
      <c r="B24" s="46"/>
      <c r="C24" s="71">
        <v>2010</v>
      </c>
      <c r="D24" s="74" t="s">
        <v>210</v>
      </c>
      <c r="E24" s="82">
        <v>156600</v>
      </c>
      <c r="F24" s="82"/>
      <c r="G24" s="82">
        <f>SUM(E24:F24)</f>
        <v>156600</v>
      </c>
      <c r="H24" s="82"/>
      <c r="I24" s="82">
        <f>SUM(G24:H24)</f>
        <v>156600</v>
      </c>
      <c r="J24" s="82"/>
      <c r="K24" s="82">
        <f>SUM(I24:J24)</f>
        <v>156600</v>
      </c>
      <c r="L24" s="82"/>
      <c r="M24" s="82">
        <f>SUM(K24:L24)</f>
        <v>156600</v>
      </c>
      <c r="N24" s="82"/>
      <c r="O24" s="82">
        <f>SUM(M24:N24)</f>
        <v>156600</v>
      </c>
      <c r="P24" s="82"/>
      <c r="Q24" s="82">
        <f>SUM(O24:P24)</f>
        <v>156600</v>
      </c>
      <c r="R24" s="82"/>
      <c r="S24" s="82">
        <f>SUM(Q24:R24)</f>
        <v>156600</v>
      </c>
      <c r="T24" s="82"/>
      <c r="U24" s="82">
        <f>SUM(S24:T24)</f>
        <v>156600</v>
      </c>
      <c r="V24" s="82"/>
      <c r="W24" s="82">
        <f>SUM(U24:V24)</f>
        <v>156600</v>
      </c>
      <c r="X24" s="82"/>
      <c r="Y24" s="82">
        <f>SUM(W24:X24)</f>
        <v>156600</v>
      </c>
      <c r="Z24" s="82"/>
      <c r="AA24" s="82">
        <f>SUM(Y24:Z24)</f>
        <v>156600</v>
      </c>
      <c r="AB24" s="82"/>
      <c r="AC24" s="82">
        <f>SUM(AA24:AB24)</f>
        <v>156600</v>
      </c>
      <c r="AD24" s="82"/>
      <c r="AE24" s="82">
        <f>SUM(AC24:AD24)</f>
        <v>156600</v>
      </c>
      <c r="AF24" s="82"/>
      <c r="AG24" s="82">
        <f>SUM(AE24:AF24)</f>
        <v>156600</v>
      </c>
    </row>
    <row r="25" spans="1:33" s="23" customFormat="1" ht="24" customHeight="1">
      <c r="A25" s="69"/>
      <c r="B25" s="46">
        <v>75023</v>
      </c>
      <c r="C25" s="71"/>
      <c r="D25" s="37" t="s">
        <v>19</v>
      </c>
      <c r="E25" s="68">
        <f aca="true" t="shared" si="29" ref="E25:AG25">SUM(E26)</f>
        <v>12000</v>
      </c>
      <c r="F25" s="68">
        <f t="shared" si="29"/>
        <v>0</v>
      </c>
      <c r="G25" s="68">
        <f t="shared" si="29"/>
        <v>12000</v>
      </c>
      <c r="H25" s="68">
        <f t="shared" si="29"/>
        <v>0</v>
      </c>
      <c r="I25" s="68">
        <f t="shared" si="29"/>
        <v>12000</v>
      </c>
      <c r="J25" s="68">
        <f t="shared" si="29"/>
        <v>0</v>
      </c>
      <c r="K25" s="68">
        <f t="shared" si="29"/>
        <v>12000</v>
      </c>
      <c r="L25" s="68">
        <f t="shared" si="29"/>
        <v>0</v>
      </c>
      <c r="M25" s="68">
        <f t="shared" si="29"/>
        <v>12000</v>
      </c>
      <c r="N25" s="68">
        <f t="shared" si="29"/>
        <v>0</v>
      </c>
      <c r="O25" s="68">
        <f t="shared" si="29"/>
        <v>12000</v>
      </c>
      <c r="P25" s="68">
        <f t="shared" si="29"/>
        <v>0</v>
      </c>
      <c r="Q25" s="68">
        <f t="shared" si="29"/>
        <v>12000</v>
      </c>
      <c r="R25" s="68">
        <f t="shared" si="29"/>
        <v>0</v>
      </c>
      <c r="S25" s="68">
        <f t="shared" si="29"/>
        <v>12000</v>
      </c>
      <c r="T25" s="68">
        <f t="shared" si="29"/>
        <v>0</v>
      </c>
      <c r="U25" s="68">
        <f t="shared" si="29"/>
        <v>12000</v>
      </c>
      <c r="V25" s="68">
        <f t="shared" si="29"/>
        <v>0</v>
      </c>
      <c r="W25" s="68">
        <f t="shared" si="29"/>
        <v>12000</v>
      </c>
      <c r="X25" s="68">
        <f t="shared" si="29"/>
        <v>0</v>
      </c>
      <c r="Y25" s="68">
        <f t="shared" si="29"/>
        <v>12000</v>
      </c>
      <c r="Z25" s="68">
        <f t="shared" si="29"/>
        <v>0</v>
      </c>
      <c r="AA25" s="68">
        <f t="shared" si="29"/>
        <v>12000</v>
      </c>
      <c r="AB25" s="68">
        <f t="shared" si="29"/>
        <v>0</v>
      </c>
      <c r="AC25" s="68">
        <f t="shared" si="29"/>
        <v>12000</v>
      </c>
      <c r="AD25" s="68">
        <f t="shared" si="29"/>
        <v>2000</v>
      </c>
      <c r="AE25" s="68">
        <f t="shared" si="29"/>
        <v>14000</v>
      </c>
      <c r="AF25" s="68">
        <f t="shared" si="29"/>
        <v>0</v>
      </c>
      <c r="AG25" s="68">
        <f t="shared" si="29"/>
        <v>14000</v>
      </c>
    </row>
    <row r="26" spans="1:33" s="23" customFormat="1" ht="21.75" customHeight="1">
      <c r="A26" s="69"/>
      <c r="B26" s="46"/>
      <c r="C26" s="71" t="s">
        <v>161</v>
      </c>
      <c r="D26" s="74" t="s">
        <v>12</v>
      </c>
      <c r="E26" s="68">
        <v>12000</v>
      </c>
      <c r="F26" s="68"/>
      <c r="G26" s="68">
        <f>SUM(E26:F26)</f>
        <v>12000</v>
      </c>
      <c r="H26" s="68"/>
      <c r="I26" s="68">
        <f>SUM(G26:H26)</f>
        <v>12000</v>
      </c>
      <c r="J26" s="68"/>
      <c r="K26" s="68">
        <f>SUM(I26:J26)</f>
        <v>12000</v>
      </c>
      <c r="L26" s="68"/>
      <c r="M26" s="68">
        <f>SUM(K26:L26)</f>
        <v>12000</v>
      </c>
      <c r="N26" s="68"/>
      <c r="O26" s="68">
        <f>SUM(M26:N26)</f>
        <v>12000</v>
      </c>
      <c r="P26" s="68"/>
      <c r="Q26" s="68">
        <f>SUM(O26:P26)</f>
        <v>12000</v>
      </c>
      <c r="R26" s="68"/>
      <c r="S26" s="68">
        <f>SUM(Q26:R26)</f>
        <v>12000</v>
      </c>
      <c r="T26" s="68"/>
      <c r="U26" s="68">
        <f>SUM(S26:T26)</f>
        <v>12000</v>
      </c>
      <c r="V26" s="68"/>
      <c r="W26" s="68">
        <f>SUM(U26:V26)</f>
        <v>12000</v>
      </c>
      <c r="X26" s="68"/>
      <c r="Y26" s="68">
        <f>SUM(W26:X26)</f>
        <v>12000</v>
      </c>
      <c r="Z26" s="68"/>
      <c r="AA26" s="68">
        <f>SUM(Y26:Z26)</f>
        <v>12000</v>
      </c>
      <c r="AB26" s="68"/>
      <c r="AC26" s="68">
        <f>SUM(AA26:AB26)</f>
        <v>12000</v>
      </c>
      <c r="AD26" s="68">
        <v>2000</v>
      </c>
      <c r="AE26" s="68">
        <f>SUM(AC26:AD26)</f>
        <v>14000</v>
      </c>
      <c r="AF26" s="68"/>
      <c r="AG26" s="68">
        <f>SUM(AE26:AF26)</f>
        <v>14000</v>
      </c>
    </row>
    <row r="27" spans="1:33" s="23" customFormat="1" ht="21.75" customHeight="1">
      <c r="A27" s="69"/>
      <c r="B27" s="46">
        <v>75056</v>
      </c>
      <c r="C27" s="71"/>
      <c r="D27" s="74" t="s">
        <v>418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>
        <f aca="true" t="shared" si="30" ref="W27:AG27">SUM(W28)</f>
        <v>0</v>
      </c>
      <c r="X27" s="68">
        <f t="shared" si="30"/>
        <v>14329</v>
      </c>
      <c r="Y27" s="68">
        <f t="shared" si="30"/>
        <v>14329</v>
      </c>
      <c r="Z27" s="68">
        <f t="shared" si="30"/>
        <v>0</v>
      </c>
      <c r="AA27" s="68">
        <f t="shared" si="30"/>
        <v>14329</v>
      </c>
      <c r="AB27" s="68">
        <f t="shared" si="30"/>
        <v>2134</v>
      </c>
      <c r="AC27" s="68">
        <f t="shared" si="30"/>
        <v>16463</v>
      </c>
      <c r="AD27" s="68">
        <f t="shared" si="30"/>
        <v>0</v>
      </c>
      <c r="AE27" s="68">
        <f t="shared" si="30"/>
        <v>16463</v>
      </c>
      <c r="AF27" s="68">
        <f t="shared" si="30"/>
        <v>0</v>
      </c>
      <c r="AG27" s="68">
        <f t="shared" si="30"/>
        <v>16463</v>
      </c>
    </row>
    <row r="28" spans="1:33" s="23" customFormat="1" ht="56.25">
      <c r="A28" s="69"/>
      <c r="B28" s="46"/>
      <c r="C28" s="71">
        <v>2010</v>
      </c>
      <c r="D28" s="74" t="s">
        <v>210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0</v>
      </c>
      <c r="X28" s="68">
        <v>14329</v>
      </c>
      <c r="Y28" s="68">
        <f>SUM(W28:X28)</f>
        <v>14329</v>
      </c>
      <c r="Z28" s="68"/>
      <c r="AA28" s="68">
        <f>SUM(Y28:Z28)</f>
        <v>14329</v>
      </c>
      <c r="AB28" s="68">
        <v>2134</v>
      </c>
      <c r="AC28" s="68">
        <f>SUM(AA28:AB28)</f>
        <v>16463</v>
      </c>
      <c r="AD28" s="68"/>
      <c r="AE28" s="68">
        <f>SUM(AC28:AD28)</f>
        <v>16463</v>
      </c>
      <c r="AF28" s="68"/>
      <c r="AG28" s="68">
        <f>SUM(AE28:AF28)</f>
        <v>16463</v>
      </c>
    </row>
    <row r="29" spans="1:33" s="5" customFormat="1" ht="36">
      <c r="A29" s="28">
        <v>751</v>
      </c>
      <c r="B29" s="3"/>
      <c r="C29" s="19"/>
      <c r="D29" s="29" t="s">
        <v>20</v>
      </c>
      <c r="E29" s="55">
        <f aca="true" t="shared" si="31" ref="E29:AF30">SUM(E30)</f>
        <v>3952</v>
      </c>
      <c r="F29" s="55">
        <f t="shared" si="31"/>
        <v>0</v>
      </c>
      <c r="G29" s="55">
        <f t="shared" si="31"/>
        <v>3952</v>
      </c>
      <c r="H29" s="55">
        <f t="shared" si="31"/>
        <v>0</v>
      </c>
      <c r="I29" s="55">
        <f t="shared" si="31"/>
        <v>3952</v>
      </c>
      <c r="J29" s="55">
        <f t="shared" si="31"/>
        <v>0</v>
      </c>
      <c r="K29" s="55">
        <f t="shared" si="31"/>
        <v>3952</v>
      </c>
      <c r="L29" s="55">
        <f t="shared" si="31"/>
        <v>0</v>
      </c>
      <c r="M29" s="55">
        <f t="shared" si="31"/>
        <v>3952</v>
      </c>
      <c r="N29" s="55">
        <f t="shared" si="31"/>
        <v>0</v>
      </c>
      <c r="O29" s="55">
        <f aca="true" t="shared" si="32" ref="O29:U29">SUM(O30,O32)</f>
        <v>3952</v>
      </c>
      <c r="P29" s="55">
        <f t="shared" si="32"/>
        <v>20663</v>
      </c>
      <c r="Q29" s="55">
        <f t="shared" si="32"/>
        <v>24615</v>
      </c>
      <c r="R29" s="55">
        <f t="shared" si="32"/>
        <v>21375</v>
      </c>
      <c r="S29" s="55">
        <f t="shared" si="32"/>
        <v>45990</v>
      </c>
      <c r="T29" s="55">
        <f t="shared" si="32"/>
        <v>11000</v>
      </c>
      <c r="U29" s="55">
        <f t="shared" si="32"/>
        <v>56990</v>
      </c>
      <c r="V29" s="55">
        <f aca="true" t="shared" si="33" ref="V29:AA29">SUM(V30,V32)</f>
        <v>21375</v>
      </c>
      <c r="W29" s="55">
        <f t="shared" si="33"/>
        <v>78365</v>
      </c>
      <c r="X29" s="55">
        <f t="shared" si="33"/>
        <v>0</v>
      </c>
      <c r="Y29" s="55">
        <f t="shared" si="33"/>
        <v>78365</v>
      </c>
      <c r="Z29" s="55">
        <f t="shared" si="33"/>
        <v>0</v>
      </c>
      <c r="AA29" s="55">
        <f t="shared" si="33"/>
        <v>78365</v>
      </c>
      <c r="AB29" s="55">
        <f>SUM(AB30,AB32)</f>
        <v>0</v>
      </c>
      <c r="AC29" s="55">
        <f>SUM(AC30,AC32,AC34)</f>
        <v>78365</v>
      </c>
      <c r="AD29" s="55">
        <f>SUM(AD30,AD32,AD34)</f>
        <v>85887</v>
      </c>
      <c r="AE29" s="55">
        <f>SUM(AE30,AE32,AE34)</f>
        <v>164252</v>
      </c>
      <c r="AF29" s="55">
        <f>SUM(AF30,AF32,AF34)</f>
        <v>0</v>
      </c>
      <c r="AG29" s="55">
        <f>SUM(AG30,AG32,AG34)</f>
        <v>164252</v>
      </c>
    </row>
    <row r="30" spans="1:33" s="23" customFormat="1" ht="22.5">
      <c r="A30" s="75"/>
      <c r="B30" s="70">
        <v>75101</v>
      </c>
      <c r="C30" s="77"/>
      <c r="D30" s="74" t="s">
        <v>21</v>
      </c>
      <c r="E30" s="68">
        <f t="shared" si="31"/>
        <v>3952</v>
      </c>
      <c r="F30" s="68">
        <f t="shared" si="31"/>
        <v>0</v>
      </c>
      <c r="G30" s="68">
        <f t="shared" si="31"/>
        <v>3952</v>
      </c>
      <c r="H30" s="68">
        <f t="shared" si="31"/>
        <v>0</v>
      </c>
      <c r="I30" s="68">
        <f t="shared" si="31"/>
        <v>3952</v>
      </c>
      <c r="J30" s="68">
        <f t="shared" si="31"/>
        <v>0</v>
      </c>
      <c r="K30" s="68">
        <f t="shared" si="31"/>
        <v>3952</v>
      </c>
      <c r="L30" s="68">
        <f t="shared" si="31"/>
        <v>0</v>
      </c>
      <c r="M30" s="68">
        <f t="shared" si="31"/>
        <v>3952</v>
      </c>
      <c r="N30" s="68">
        <f t="shared" si="31"/>
        <v>0</v>
      </c>
      <c r="O30" s="68">
        <f t="shared" si="31"/>
        <v>3952</v>
      </c>
      <c r="P30" s="68">
        <f t="shared" si="31"/>
        <v>0</v>
      </c>
      <c r="Q30" s="68">
        <f t="shared" si="31"/>
        <v>3952</v>
      </c>
      <c r="R30" s="68">
        <f t="shared" si="31"/>
        <v>0</v>
      </c>
      <c r="S30" s="68">
        <f t="shared" si="31"/>
        <v>3952</v>
      </c>
      <c r="T30" s="68">
        <f t="shared" si="31"/>
        <v>0</v>
      </c>
      <c r="U30" s="68">
        <f>SUM(U31)</f>
        <v>3952</v>
      </c>
      <c r="V30" s="68">
        <f t="shared" si="31"/>
        <v>0</v>
      </c>
      <c r="W30" s="68">
        <f>SUM(W31)</f>
        <v>3952</v>
      </c>
      <c r="X30" s="68">
        <f t="shared" si="31"/>
        <v>0</v>
      </c>
      <c r="Y30" s="68">
        <f>SUM(Y31)</f>
        <v>3952</v>
      </c>
      <c r="Z30" s="68">
        <f t="shared" si="31"/>
        <v>0</v>
      </c>
      <c r="AA30" s="68">
        <f>SUM(AA31)</f>
        <v>3952</v>
      </c>
      <c r="AB30" s="68">
        <f t="shared" si="31"/>
        <v>0</v>
      </c>
      <c r="AC30" s="68">
        <f>SUM(AC31)</f>
        <v>3952</v>
      </c>
      <c r="AD30" s="68">
        <f t="shared" si="31"/>
        <v>0</v>
      </c>
      <c r="AE30" s="68">
        <f>SUM(AE31)</f>
        <v>3952</v>
      </c>
      <c r="AF30" s="68">
        <f t="shared" si="31"/>
        <v>0</v>
      </c>
      <c r="AG30" s="68">
        <f>SUM(AG31)</f>
        <v>3952</v>
      </c>
    </row>
    <row r="31" spans="1:33" s="23" customFormat="1" ht="56.25">
      <c r="A31" s="75"/>
      <c r="B31" s="70"/>
      <c r="C31" s="77">
        <v>2010</v>
      </c>
      <c r="D31" s="74" t="s">
        <v>210</v>
      </c>
      <c r="E31" s="68">
        <v>3952</v>
      </c>
      <c r="F31" s="68"/>
      <c r="G31" s="68">
        <f>SUM(E31:F31)</f>
        <v>3952</v>
      </c>
      <c r="H31" s="68"/>
      <c r="I31" s="68">
        <f>SUM(G31:H31)</f>
        <v>3952</v>
      </c>
      <c r="J31" s="68"/>
      <c r="K31" s="68">
        <f>SUM(I31:J31)</f>
        <v>3952</v>
      </c>
      <c r="L31" s="68"/>
      <c r="M31" s="68">
        <f>SUM(K31:L31)</f>
        <v>3952</v>
      </c>
      <c r="N31" s="68"/>
      <c r="O31" s="68">
        <f>SUM(M31:N31)</f>
        <v>3952</v>
      </c>
      <c r="P31" s="68"/>
      <c r="Q31" s="68">
        <f>SUM(O31:P31)</f>
        <v>3952</v>
      </c>
      <c r="R31" s="68"/>
      <c r="S31" s="68">
        <f>SUM(Q31:R31)</f>
        <v>3952</v>
      </c>
      <c r="T31" s="68"/>
      <c r="U31" s="68">
        <f>SUM(S31:T31)</f>
        <v>3952</v>
      </c>
      <c r="V31" s="68"/>
      <c r="W31" s="68">
        <f>SUM(U31:V31)</f>
        <v>3952</v>
      </c>
      <c r="X31" s="68"/>
      <c r="Y31" s="68">
        <f>SUM(W31:X31)</f>
        <v>3952</v>
      </c>
      <c r="Z31" s="68"/>
      <c r="AA31" s="68">
        <f>SUM(Y31:Z31)</f>
        <v>3952</v>
      </c>
      <c r="AB31" s="68"/>
      <c r="AC31" s="68">
        <f>SUM(AA31:AB31)</f>
        <v>3952</v>
      </c>
      <c r="AD31" s="68"/>
      <c r="AE31" s="68">
        <f>SUM(AC31:AD31)</f>
        <v>3952</v>
      </c>
      <c r="AF31" s="68"/>
      <c r="AG31" s="68">
        <f>SUM(AE31:AF31)</f>
        <v>3952</v>
      </c>
    </row>
    <row r="32" spans="1:33" s="23" customFormat="1" ht="22.5">
      <c r="A32" s="75"/>
      <c r="B32" s="70">
        <v>75107</v>
      </c>
      <c r="C32" s="77"/>
      <c r="D32" s="37" t="s">
        <v>392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>
        <f aca="true" t="shared" si="34" ref="O32:AG32">SUM(O33)</f>
        <v>0</v>
      </c>
      <c r="P32" s="68">
        <f t="shared" si="34"/>
        <v>20663</v>
      </c>
      <c r="Q32" s="68">
        <f t="shared" si="34"/>
        <v>20663</v>
      </c>
      <c r="R32" s="68">
        <f t="shared" si="34"/>
        <v>21375</v>
      </c>
      <c r="S32" s="68">
        <f t="shared" si="34"/>
        <v>42038</v>
      </c>
      <c r="T32" s="68">
        <f t="shared" si="34"/>
        <v>11000</v>
      </c>
      <c r="U32" s="68">
        <f t="shared" si="34"/>
        <v>53038</v>
      </c>
      <c r="V32" s="68">
        <f t="shared" si="34"/>
        <v>21375</v>
      </c>
      <c r="W32" s="68">
        <f t="shared" si="34"/>
        <v>74413</v>
      </c>
      <c r="X32" s="68">
        <f t="shared" si="34"/>
        <v>0</v>
      </c>
      <c r="Y32" s="68">
        <f t="shared" si="34"/>
        <v>74413</v>
      </c>
      <c r="Z32" s="68">
        <f t="shared" si="34"/>
        <v>0</v>
      </c>
      <c r="AA32" s="68">
        <f t="shared" si="34"/>
        <v>74413</v>
      </c>
      <c r="AB32" s="68">
        <f t="shared" si="34"/>
        <v>0</v>
      </c>
      <c r="AC32" s="68">
        <f t="shared" si="34"/>
        <v>74413</v>
      </c>
      <c r="AD32" s="68">
        <f t="shared" si="34"/>
        <v>0</v>
      </c>
      <c r="AE32" s="68">
        <f t="shared" si="34"/>
        <v>74413</v>
      </c>
      <c r="AF32" s="68">
        <f t="shared" si="34"/>
        <v>0</v>
      </c>
      <c r="AG32" s="68">
        <f t="shared" si="34"/>
        <v>74413</v>
      </c>
    </row>
    <row r="33" spans="1:33" s="23" customFormat="1" ht="60" customHeight="1">
      <c r="A33" s="75"/>
      <c r="B33" s="70"/>
      <c r="C33" s="77">
        <v>2010</v>
      </c>
      <c r="D33" s="74" t="s">
        <v>210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>
        <v>0</v>
      </c>
      <c r="P33" s="68">
        <v>20663</v>
      </c>
      <c r="Q33" s="68">
        <f>SUM(O33:P33)</f>
        <v>20663</v>
      </c>
      <c r="R33" s="68">
        <v>21375</v>
      </c>
      <c r="S33" s="68">
        <f>SUM(Q33:R33)</f>
        <v>42038</v>
      </c>
      <c r="T33" s="68">
        <v>11000</v>
      </c>
      <c r="U33" s="68">
        <f>SUM(S33:T33)</f>
        <v>53038</v>
      </c>
      <c r="V33" s="68">
        <v>21375</v>
      </c>
      <c r="W33" s="68">
        <f>SUM(U33:V33)</f>
        <v>74413</v>
      </c>
      <c r="X33" s="68"/>
      <c r="Y33" s="68">
        <f>SUM(W33:X33)</f>
        <v>74413</v>
      </c>
      <c r="Z33" s="68"/>
      <c r="AA33" s="68">
        <f>SUM(Y33:Z33)</f>
        <v>74413</v>
      </c>
      <c r="AB33" s="68"/>
      <c r="AC33" s="68">
        <f>SUM(AA33:AB33)</f>
        <v>74413</v>
      </c>
      <c r="AD33" s="68"/>
      <c r="AE33" s="68">
        <f>SUM(AC33:AD33)</f>
        <v>74413</v>
      </c>
      <c r="AF33" s="68"/>
      <c r="AG33" s="68">
        <f>SUM(AE33:AF33)</f>
        <v>74413</v>
      </c>
    </row>
    <row r="34" spans="1:33" s="23" customFormat="1" ht="56.25">
      <c r="A34" s="75"/>
      <c r="B34" s="70">
        <v>75109</v>
      </c>
      <c r="C34" s="77"/>
      <c r="D34" s="74" t="s">
        <v>464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>
        <f>SUM(AC35)</f>
        <v>0</v>
      </c>
      <c r="AD34" s="68">
        <f>SUM(AD35)</f>
        <v>85887</v>
      </c>
      <c r="AE34" s="68">
        <f>SUM(AE35)</f>
        <v>85887</v>
      </c>
      <c r="AF34" s="68">
        <f>SUM(AF35)</f>
        <v>0</v>
      </c>
      <c r="AG34" s="68">
        <f>SUM(AG35)</f>
        <v>85887</v>
      </c>
    </row>
    <row r="35" spans="1:33" s="23" customFormat="1" ht="56.25">
      <c r="A35" s="75"/>
      <c r="B35" s="70"/>
      <c r="C35" s="77">
        <v>2010</v>
      </c>
      <c r="D35" s="74" t="s">
        <v>210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>
        <v>0</v>
      </c>
      <c r="AD35" s="68">
        <v>85887</v>
      </c>
      <c r="AE35" s="68">
        <f>SUM(AC35:AD35)</f>
        <v>85887</v>
      </c>
      <c r="AF35" s="68"/>
      <c r="AG35" s="68">
        <f>SUM(AE35:AF35)</f>
        <v>85887</v>
      </c>
    </row>
    <row r="36" spans="1:33" s="5" customFormat="1" ht="30" customHeight="1">
      <c r="A36" s="28" t="s">
        <v>22</v>
      </c>
      <c r="B36" s="1"/>
      <c r="C36" s="2"/>
      <c r="D36" s="29" t="s">
        <v>23</v>
      </c>
      <c r="E36" s="55">
        <f aca="true" t="shared" si="35" ref="E36:AG36">SUM(E37)</f>
        <v>5500</v>
      </c>
      <c r="F36" s="55">
        <f t="shared" si="35"/>
        <v>0</v>
      </c>
      <c r="G36" s="55">
        <f t="shared" si="35"/>
        <v>5500</v>
      </c>
      <c r="H36" s="55">
        <f t="shared" si="35"/>
        <v>0</v>
      </c>
      <c r="I36" s="55">
        <f t="shared" si="35"/>
        <v>5500</v>
      </c>
      <c r="J36" s="55">
        <f t="shared" si="35"/>
        <v>0</v>
      </c>
      <c r="K36" s="55">
        <f t="shared" si="35"/>
        <v>5500</v>
      </c>
      <c r="L36" s="55">
        <f t="shared" si="35"/>
        <v>0</v>
      </c>
      <c r="M36" s="55">
        <f t="shared" si="35"/>
        <v>5500</v>
      </c>
      <c r="N36" s="55">
        <f t="shared" si="35"/>
        <v>0</v>
      </c>
      <c r="O36" s="55">
        <f t="shared" si="35"/>
        <v>5500</v>
      </c>
      <c r="P36" s="55">
        <f t="shared" si="35"/>
        <v>0</v>
      </c>
      <c r="Q36" s="55">
        <f t="shared" si="35"/>
        <v>5500</v>
      </c>
      <c r="R36" s="55">
        <f t="shared" si="35"/>
        <v>0</v>
      </c>
      <c r="S36" s="55">
        <f t="shared" si="35"/>
        <v>5500</v>
      </c>
      <c r="T36" s="55">
        <f t="shared" si="35"/>
        <v>0</v>
      </c>
      <c r="U36" s="55">
        <f t="shared" si="35"/>
        <v>5500</v>
      </c>
      <c r="V36" s="55">
        <f t="shared" si="35"/>
        <v>0</v>
      </c>
      <c r="W36" s="55">
        <f t="shared" si="35"/>
        <v>5500</v>
      </c>
      <c r="X36" s="55">
        <f t="shared" si="35"/>
        <v>0</v>
      </c>
      <c r="Y36" s="55">
        <f t="shared" si="35"/>
        <v>5500</v>
      </c>
      <c r="Z36" s="55">
        <f t="shared" si="35"/>
        <v>0</v>
      </c>
      <c r="AA36" s="55">
        <f t="shared" si="35"/>
        <v>5500</v>
      </c>
      <c r="AB36" s="55">
        <f t="shared" si="35"/>
        <v>0</v>
      </c>
      <c r="AC36" s="55">
        <f t="shared" si="35"/>
        <v>5500</v>
      </c>
      <c r="AD36" s="55">
        <f t="shared" si="35"/>
        <v>0</v>
      </c>
      <c r="AE36" s="55">
        <f t="shared" si="35"/>
        <v>5500</v>
      </c>
      <c r="AF36" s="55">
        <f t="shared" si="35"/>
        <v>0</v>
      </c>
      <c r="AG36" s="55">
        <f t="shared" si="35"/>
        <v>5500</v>
      </c>
    </row>
    <row r="37" spans="1:33" s="23" customFormat="1" ht="24" customHeight="1">
      <c r="A37" s="75"/>
      <c r="B37" s="70" t="s">
        <v>24</v>
      </c>
      <c r="C37" s="77"/>
      <c r="D37" s="74" t="s">
        <v>25</v>
      </c>
      <c r="E37" s="68">
        <f aca="true" t="shared" si="36" ref="E37:K37">SUM(E38:E39)</f>
        <v>5500</v>
      </c>
      <c r="F37" s="68">
        <f t="shared" si="36"/>
        <v>0</v>
      </c>
      <c r="G37" s="68">
        <f t="shared" si="36"/>
        <v>5500</v>
      </c>
      <c r="H37" s="68">
        <f t="shared" si="36"/>
        <v>0</v>
      </c>
      <c r="I37" s="68">
        <f t="shared" si="36"/>
        <v>5500</v>
      </c>
      <c r="J37" s="68">
        <f t="shared" si="36"/>
        <v>0</v>
      </c>
      <c r="K37" s="68">
        <f t="shared" si="36"/>
        <v>5500</v>
      </c>
      <c r="L37" s="68">
        <f aca="true" t="shared" si="37" ref="L37:Q37">SUM(L38:L39)</f>
        <v>0</v>
      </c>
      <c r="M37" s="68">
        <f t="shared" si="37"/>
        <v>5500</v>
      </c>
      <c r="N37" s="68">
        <f t="shared" si="37"/>
        <v>0</v>
      </c>
      <c r="O37" s="68">
        <f t="shared" si="37"/>
        <v>5500</v>
      </c>
      <c r="P37" s="68">
        <f t="shared" si="37"/>
        <v>0</v>
      </c>
      <c r="Q37" s="68">
        <f t="shared" si="37"/>
        <v>5500</v>
      </c>
      <c r="R37" s="68">
        <f aca="true" t="shared" si="38" ref="R37:W37">SUM(R38:R39)</f>
        <v>0</v>
      </c>
      <c r="S37" s="68">
        <f t="shared" si="38"/>
        <v>5500</v>
      </c>
      <c r="T37" s="68">
        <f t="shared" si="38"/>
        <v>0</v>
      </c>
      <c r="U37" s="68">
        <f t="shared" si="38"/>
        <v>5500</v>
      </c>
      <c r="V37" s="68">
        <f t="shared" si="38"/>
        <v>0</v>
      </c>
      <c r="W37" s="68">
        <f t="shared" si="38"/>
        <v>5500</v>
      </c>
      <c r="X37" s="68">
        <f aca="true" t="shared" si="39" ref="X37:AC37">SUM(X38:X39)</f>
        <v>0</v>
      </c>
      <c r="Y37" s="68">
        <f t="shared" si="39"/>
        <v>5500</v>
      </c>
      <c r="Z37" s="68">
        <f t="shared" si="39"/>
        <v>0</v>
      </c>
      <c r="AA37" s="68">
        <f t="shared" si="39"/>
        <v>5500</v>
      </c>
      <c r="AB37" s="68">
        <f t="shared" si="39"/>
        <v>0</v>
      </c>
      <c r="AC37" s="68">
        <f t="shared" si="39"/>
        <v>5500</v>
      </c>
      <c r="AD37" s="68">
        <f>SUM(AD38:AD39)</f>
        <v>0</v>
      </c>
      <c r="AE37" s="68">
        <f>SUM(AE38:AE39)</f>
        <v>5500</v>
      </c>
      <c r="AF37" s="68">
        <f>SUM(AF38:AF39)</f>
        <v>0</v>
      </c>
      <c r="AG37" s="68">
        <f>SUM(AG38:AG39)</f>
        <v>5500</v>
      </c>
    </row>
    <row r="38" spans="1:33" s="23" customFormat="1" ht="21.75" customHeight="1">
      <c r="A38" s="75"/>
      <c r="B38" s="46"/>
      <c r="C38" s="71" t="s">
        <v>162</v>
      </c>
      <c r="D38" s="74" t="s">
        <v>361</v>
      </c>
      <c r="E38" s="68">
        <v>5000</v>
      </c>
      <c r="F38" s="68"/>
      <c r="G38" s="68">
        <f>SUM(E38:F38)</f>
        <v>5000</v>
      </c>
      <c r="H38" s="68"/>
      <c r="I38" s="68">
        <f>SUM(G38:H38)</f>
        <v>5000</v>
      </c>
      <c r="J38" s="68"/>
      <c r="K38" s="68">
        <f>SUM(I38:J38)</f>
        <v>5000</v>
      </c>
      <c r="L38" s="68"/>
      <c r="M38" s="68">
        <f>SUM(K38:L38)</f>
        <v>5000</v>
      </c>
      <c r="N38" s="68"/>
      <c r="O38" s="68">
        <f>SUM(M38:N38)</f>
        <v>5000</v>
      </c>
      <c r="P38" s="68"/>
      <c r="Q38" s="68">
        <f>SUM(O38:P38)</f>
        <v>5000</v>
      </c>
      <c r="R38" s="68"/>
      <c r="S38" s="68">
        <f>SUM(Q38:R38)</f>
        <v>5000</v>
      </c>
      <c r="T38" s="68"/>
      <c r="U38" s="68">
        <f>SUM(S38:T38)</f>
        <v>5000</v>
      </c>
      <c r="V38" s="68"/>
      <c r="W38" s="68">
        <f>SUM(U38:V38)</f>
        <v>5000</v>
      </c>
      <c r="X38" s="68"/>
      <c r="Y38" s="68">
        <f>SUM(W38:X38)</f>
        <v>5000</v>
      </c>
      <c r="Z38" s="68"/>
      <c r="AA38" s="68">
        <f>SUM(Y38:Z38)</f>
        <v>5000</v>
      </c>
      <c r="AB38" s="68"/>
      <c r="AC38" s="68">
        <f>SUM(AA38:AB38)</f>
        <v>5000</v>
      </c>
      <c r="AD38" s="68"/>
      <c r="AE38" s="68">
        <f>SUM(AC38:AD38)</f>
        <v>5000</v>
      </c>
      <c r="AF38" s="68"/>
      <c r="AG38" s="68">
        <f>SUM(AE38:AF38)</f>
        <v>5000</v>
      </c>
    </row>
    <row r="39" spans="1:33" s="23" customFormat="1" ht="21.75" customHeight="1">
      <c r="A39" s="75"/>
      <c r="B39" s="46"/>
      <c r="C39" s="71" t="s">
        <v>160</v>
      </c>
      <c r="D39" s="74" t="s">
        <v>11</v>
      </c>
      <c r="E39" s="68">
        <v>500</v>
      </c>
      <c r="F39" s="68"/>
      <c r="G39" s="68">
        <f>SUM(E39:F39)</f>
        <v>500</v>
      </c>
      <c r="H39" s="68"/>
      <c r="I39" s="68">
        <f>SUM(G39:H39)</f>
        <v>500</v>
      </c>
      <c r="J39" s="68"/>
      <c r="K39" s="68">
        <f>SUM(I39:J39)</f>
        <v>500</v>
      </c>
      <c r="L39" s="68"/>
      <c r="M39" s="68">
        <f>SUM(K39:L39)</f>
        <v>500</v>
      </c>
      <c r="N39" s="68"/>
      <c r="O39" s="68">
        <f>SUM(M39:N39)</f>
        <v>500</v>
      </c>
      <c r="P39" s="68"/>
      <c r="Q39" s="68">
        <f>SUM(O39:P39)</f>
        <v>500</v>
      </c>
      <c r="R39" s="68"/>
      <c r="S39" s="68">
        <f>SUM(Q39:R39)</f>
        <v>500</v>
      </c>
      <c r="T39" s="68"/>
      <c r="U39" s="68">
        <f>SUM(S39:T39)</f>
        <v>500</v>
      </c>
      <c r="V39" s="68"/>
      <c r="W39" s="68">
        <f>SUM(U39:V39)</f>
        <v>500</v>
      </c>
      <c r="X39" s="68"/>
      <c r="Y39" s="68">
        <f>SUM(W39:X39)</f>
        <v>500</v>
      </c>
      <c r="Z39" s="68"/>
      <c r="AA39" s="68">
        <f>SUM(Y39:Z39)</f>
        <v>500</v>
      </c>
      <c r="AB39" s="68"/>
      <c r="AC39" s="68">
        <f>SUM(AA39:AB39)</f>
        <v>500</v>
      </c>
      <c r="AD39" s="68"/>
      <c r="AE39" s="68">
        <f>SUM(AC39:AD39)</f>
        <v>500</v>
      </c>
      <c r="AF39" s="68"/>
      <c r="AG39" s="68">
        <f>SUM(AE39:AF39)</f>
        <v>500</v>
      </c>
    </row>
    <row r="40" spans="1:33" s="5" customFormat="1" ht="52.5" customHeight="1">
      <c r="A40" s="28" t="s">
        <v>26</v>
      </c>
      <c r="B40" s="1"/>
      <c r="C40" s="2"/>
      <c r="D40" s="29" t="s">
        <v>151</v>
      </c>
      <c r="E40" s="55">
        <f aca="true" t="shared" si="40" ref="E40:K40">SUM(E41,E44,E52,E62,E68,)</f>
        <v>22599894</v>
      </c>
      <c r="F40" s="55">
        <f t="shared" si="40"/>
        <v>0</v>
      </c>
      <c r="G40" s="55">
        <f t="shared" si="40"/>
        <v>22599894</v>
      </c>
      <c r="H40" s="55">
        <f t="shared" si="40"/>
        <v>0</v>
      </c>
      <c r="I40" s="55">
        <f t="shared" si="40"/>
        <v>22599894</v>
      </c>
      <c r="J40" s="55">
        <f t="shared" si="40"/>
        <v>284818</v>
      </c>
      <c r="K40" s="55">
        <f t="shared" si="40"/>
        <v>22884712</v>
      </c>
      <c r="L40" s="55">
        <f aca="true" t="shared" si="41" ref="L40:Q40">SUM(L41,L44,L52,L62,L68,)</f>
        <v>45904</v>
      </c>
      <c r="M40" s="55">
        <f t="shared" si="41"/>
        <v>22930616</v>
      </c>
      <c r="N40" s="55">
        <f t="shared" si="41"/>
        <v>0</v>
      </c>
      <c r="O40" s="55">
        <f t="shared" si="41"/>
        <v>22930616</v>
      </c>
      <c r="P40" s="55">
        <f t="shared" si="41"/>
        <v>0</v>
      </c>
      <c r="Q40" s="55">
        <f t="shared" si="41"/>
        <v>22930616</v>
      </c>
      <c r="R40" s="55">
        <f aca="true" t="shared" si="42" ref="R40:W40">SUM(R41,R44,R52,R62,R68,)</f>
        <v>0</v>
      </c>
      <c r="S40" s="55">
        <f t="shared" si="42"/>
        <v>22930616</v>
      </c>
      <c r="T40" s="55">
        <f t="shared" si="42"/>
        <v>0</v>
      </c>
      <c r="U40" s="55">
        <f t="shared" si="42"/>
        <v>22930616</v>
      </c>
      <c r="V40" s="55">
        <f t="shared" si="42"/>
        <v>0</v>
      </c>
      <c r="W40" s="55">
        <f t="shared" si="42"/>
        <v>22930616</v>
      </c>
      <c r="X40" s="55">
        <f aca="true" t="shared" si="43" ref="X40:AC40">SUM(X41,X44,X52,X62,X68,)</f>
        <v>0</v>
      </c>
      <c r="Y40" s="55">
        <f t="shared" si="43"/>
        <v>22930616</v>
      </c>
      <c r="Z40" s="55">
        <f t="shared" si="43"/>
        <v>0</v>
      </c>
      <c r="AA40" s="55">
        <f t="shared" si="43"/>
        <v>22930616</v>
      </c>
      <c r="AB40" s="55">
        <f t="shared" si="43"/>
        <v>0</v>
      </c>
      <c r="AC40" s="55">
        <f t="shared" si="43"/>
        <v>22930616</v>
      </c>
      <c r="AD40" s="55">
        <f>SUM(AD41,AD44,AD52,AD62,AD68,)</f>
        <v>-134055</v>
      </c>
      <c r="AE40" s="55">
        <f>SUM(AE41,AE44,AE52,AE62,AE68,)</f>
        <v>22796561</v>
      </c>
      <c r="AF40" s="55">
        <f>SUM(AF41,AF44,AF52,AF62,AF68,)</f>
        <v>0</v>
      </c>
      <c r="AG40" s="55">
        <f>SUM(AG41,AG44,AG52,AG62,AG68,)</f>
        <v>22796561</v>
      </c>
    </row>
    <row r="41" spans="1:33" s="23" customFormat="1" ht="23.25" customHeight="1">
      <c r="A41" s="69"/>
      <c r="B41" s="46">
        <v>75601</v>
      </c>
      <c r="C41" s="77"/>
      <c r="D41" s="74" t="s">
        <v>27</v>
      </c>
      <c r="E41" s="68">
        <f aca="true" t="shared" si="44" ref="E41:K41">SUM(E42:E43)</f>
        <v>41500</v>
      </c>
      <c r="F41" s="68">
        <f t="shared" si="44"/>
        <v>0</v>
      </c>
      <c r="G41" s="68">
        <f t="shared" si="44"/>
        <v>41500</v>
      </c>
      <c r="H41" s="68">
        <f t="shared" si="44"/>
        <v>0</v>
      </c>
      <c r="I41" s="68">
        <f t="shared" si="44"/>
        <v>41500</v>
      </c>
      <c r="J41" s="68">
        <f t="shared" si="44"/>
        <v>0</v>
      </c>
      <c r="K41" s="68">
        <f t="shared" si="44"/>
        <v>41500</v>
      </c>
      <c r="L41" s="68">
        <f aca="true" t="shared" si="45" ref="L41:Q41">SUM(L42:L43)</f>
        <v>0</v>
      </c>
      <c r="M41" s="68">
        <f t="shared" si="45"/>
        <v>41500</v>
      </c>
      <c r="N41" s="68">
        <f t="shared" si="45"/>
        <v>0</v>
      </c>
      <c r="O41" s="68">
        <f t="shared" si="45"/>
        <v>41500</v>
      </c>
      <c r="P41" s="68">
        <f t="shared" si="45"/>
        <v>0</v>
      </c>
      <c r="Q41" s="68">
        <f t="shared" si="45"/>
        <v>41500</v>
      </c>
      <c r="R41" s="68">
        <f aca="true" t="shared" si="46" ref="R41:W41">SUM(R42:R43)</f>
        <v>0</v>
      </c>
      <c r="S41" s="68">
        <f t="shared" si="46"/>
        <v>41500</v>
      </c>
      <c r="T41" s="68">
        <f t="shared" si="46"/>
        <v>0</v>
      </c>
      <c r="U41" s="68">
        <f t="shared" si="46"/>
        <v>41500</v>
      </c>
      <c r="V41" s="68">
        <f t="shared" si="46"/>
        <v>0</v>
      </c>
      <c r="W41" s="68">
        <f t="shared" si="46"/>
        <v>41500</v>
      </c>
      <c r="X41" s="68">
        <f aca="true" t="shared" si="47" ref="X41:AC41">SUM(X42:X43)</f>
        <v>0</v>
      </c>
      <c r="Y41" s="68">
        <f t="shared" si="47"/>
        <v>41500</v>
      </c>
      <c r="Z41" s="68">
        <f t="shared" si="47"/>
        <v>0</v>
      </c>
      <c r="AA41" s="68">
        <f t="shared" si="47"/>
        <v>41500</v>
      </c>
      <c r="AB41" s="68">
        <f t="shared" si="47"/>
        <v>0</v>
      </c>
      <c r="AC41" s="68">
        <f t="shared" si="47"/>
        <v>41500</v>
      </c>
      <c r="AD41" s="68">
        <f>SUM(AD42:AD43)</f>
        <v>0</v>
      </c>
      <c r="AE41" s="68">
        <f>SUM(AE42:AE43)</f>
        <v>41500</v>
      </c>
      <c r="AF41" s="68">
        <f>SUM(AF42:AF43)</f>
        <v>0</v>
      </c>
      <c r="AG41" s="68">
        <f>SUM(AG42:AG43)</f>
        <v>41500</v>
      </c>
    </row>
    <row r="42" spans="1:33" s="23" customFormat="1" ht="24" customHeight="1">
      <c r="A42" s="69"/>
      <c r="B42" s="46"/>
      <c r="C42" s="76" t="s">
        <v>163</v>
      </c>
      <c r="D42" s="74" t="s">
        <v>28</v>
      </c>
      <c r="E42" s="68">
        <v>40000</v>
      </c>
      <c r="F42" s="68"/>
      <c r="G42" s="68">
        <f>SUM(E42:F42)</f>
        <v>40000</v>
      </c>
      <c r="H42" s="68"/>
      <c r="I42" s="68">
        <f>SUM(G42:H42)</f>
        <v>40000</v>
      </c>
      <c r="J42" s="68"/>
      <c r="K42" s="68">
        <f>SUM(I42:J42)</f>
        <v>40000</v>
      </c>
      <c r="L42" s="68"/>
      <c r="M42" s="68">
        <f>SUM(K42:L42)</f>
        <v>40000</v>
      </c>
      <c r="N42" s="68"/>
      <c r="O42" s="68">
        <f>SUM(M42:N42)</f>
        <v>40000</v>
      </c>
      <c r="P42" s="68"/>
      <c r="Q42" s="68">
        <f>SUM(O42:P42)</f>
        <v>40000</v>
      </c>
      <c r="R42" s="68"/>
      <c r="S42" s="68">
        <f>SUM(Q42:R42)</f>
        <v>40000</v>
      </c>
      <c r="T42" s="68"/>
      <c r="U42" s="68">
        <f>SUM(S42:T42)</f>
        <v>40000</v>
      </c>
      <c r="V42" s="68"/>
      <c r="W42" s="68">
        <f>SUM(U42:V42)</f>
        <v>40000</v>
      </c>
      <c r="X42" s="68"/>
      <c r="Y42" s="68">
        <f>SUM(W42:X42)</f>
        <v>40000</v>
      </c>
      <c r="Z42" s="68"/>
      <c r="AA42" s="68">
        <f>SUM(Y42:Z42)</f>
        <v>40000</v>
      </c>
      <c r="AB42" s="68"/>
      <c r="AC42" s="68">
        <f>SUM(AA42:AB42)</f>
        <v>40000</v>
      </c>
      <c r="AD42" s="68"/>
      <c r="AE42" s="68">
        <f>SUM(AC42:AD42)</f>
        <v>40000</v>
      </c>
      <c r="AF42" s="68"/>
      <c r="AG42" s="68">
        <f>SUM(AE42:AF42)</f>
        <v>40000</v>
      </c>
    </row>
    <row r="43" spans="1:33" s="23" customFormat="1" ht="24" customHeight="1">
      <c r="A43" s="69"/>
      <c r="B43" s="46"/>
      <c r="C43" s="76" t="s">
        <v>164</v>
      </c>
      <c r="D43" s="74" t="s">
        <v>480</v>
      </c>
      <c r="E43" s="68">
        <v>1500</v>
      </c>
      <c r="F43" s="68"/>
      <c r="G43" s="68">
        <f>SUM(E43:F43)</f>
        <v>1500</v>
      </c>
      <c r="H43" s="68"/>
      <c r="I43" s="68">
        <f>SUM(G43:H43)</f>
        <v>1500</v>
      </c>
      <c r="J43" s="68"/>
      <c r="K43" s="68">
        <f>SUM(I43:J43)</f>
        <v>1500</v>
      </c>
      <c r="L43" s="68"/>
      <c r="M43" s="68">
        <f>SUM(K43:L43)</f>
        <v>1500</v>
      </c>
      <c r="N43" s="68"/>
      <c r="O43" s="68">
        <f>SUM(M43:N43)</f>
        <v>1500</v>
      </c>
      <c r="P43" s="68"/>
      <c r="Q43" s="68">
        <f>SUM(O43:P43)</f>
        <v>1500</v>
      </c>
      <c r="R43" s="68"/>
      <c r="S43" s="68">
        <f>SUM(Q43:R43)</f>
        <v>1500</v>
      </c>
      <c r="T43" s="68"/>
      <c r="U43" s="68">
        <f>SUM(S43:T43)</f>
        <v>1500</v>
      </c>
      <c r="V43" s="68"/>
      <c r="W43" s="68">
        <f>SUM(U43:V43)</f>
        <v>1500</v>
      </c>
      <c r="X43" s="68"/>
      <c r="Y43" s="68">
        <f>SUM(W43:X43)</f>
        <v>1500</v>
      </c>
      <c r="Z43" s="68"/>
      <c r="AA43" s="68">
        <f>SUM(Y43:Z43)</f>
        <v>1500</v>
      </c>
      <c r="AB43" s="68"/>
      <c r="AC43" s="68">
        <f>SUM(AA43:AB43)</f>
        <v>1500</v>
      </c>
      <c r="AD43" s="68"/>
      <c r="AE43" s="68">
        <f>SUM(AC43:AD43)</f>
        <v>1500</v>
      </c>
      <c r="AF43" s="68"/>
      <c r="AG43" s="68">
        <f>SUM(AE43:AF43)</f>
        <v>1500</v>
      </c>
    </row>
    <row r="44" spans="1:33" s="23" customFormat="1" ht="56.25">
      <c r="A44" s="69"/>
      <c r="B44" s="70" t="s">
        <v>29</v>
      </c>
      <c r="C44" s="77"/>
      <c r="D44" s="74" t="s">
        <v>188</v>
      </c>
      <c r="E44" s="68">
        <f aca="true" t="shared" si="48" ref="E44:K44">SUM(E45:E51)</f>
        <v>7409319</v>
      </c>
      <c r="F44" s="68">
        <f t="shared" si="48"/>
        <v>0</v>
      </c>
      <c r="G44" s="68">
        <f t="shared" si="48"/>
        <v>7409319</v>
      </c>
      <c r="H44" s="68">
        <f t="shared" si="48"/>
        <v>0</v>
      </c>
      <c r="I44" s="68">
        <f t="shared" si="48"/>
        <v>7409319</v>
      </c>
      <c r="J44" s="68">
        <f t="shared" si="48"/>
        <v>162701</v>
      </c>
      <c r="K44" s="68">
        <f t="shared" si="48"/>
        <v>7572020</v>
      </c>
      <c r="L44" s="68">
        <f aca="true" t="shared" si="49" ref="L44:Q44">SUM(L45:L51)</f>
        <v>40000</v>
      </c>
      <c r="M44" s="68">
        <f t="shared" si="49"/>
        <v>7612020</v>
      </c>
      <c r="N44" s="68">
        <f t="shared" si="49"/>
        <v>0</v>
      </c>
      <c r="O44" s="68">
        <f t="shared" si="49"/>
        <v>7612020</v>
      </c>
      <c r="P44" s="68">
        <f t="shared" si="49"/>
        <v>0</v>
      </c>
      <c r="Q44" s="68">
        <f t="shared" si="49"/>
        <v>7612020</v>
      </c>
      <c r="R44" s="68">
        <f aca="true" t="shared" si="50" ref="R44:W44">SUM(R45:R51)</f>
        <v>0</v>
      </c>
      <c r="S44" s="68">
        <f t="shared" si="50"/>
        <v>7612020</v>
      </c>
      <c r="T44" s="68">
        <f t="shared" si="50"/>
        <v>0</v>
      </c>
      <c r="U44" s="68">
        <f t="shared" si="50"/>
        <v>7612020</v>
      </c>
      <c r="V44" s="68">
        <f t="shared" si="50"/>
        <v>0</v>
      </c>
      <c r="W44" s="68">
        <f t="shared" si="50"/>
        <v>7612020</v>
      </c>
      <c r="X44" s="68">
        <f aca="true" t="shared" si="51" ref="X44:AC44">SUM(X45:X51)</f>
        <v>0</v>
      </c>
      <c r="Y44" s="68">
        <f t="shared" si="51"/>
        <v>7612020</v>
      </c>
      <c r="Z44" s="68">
        <f t="shared" si="51"/>
        <v>0</v>
      </c>
      <c r="AA44" s="68">
        <f t="shared" si="51"/>
        <v>7612020</v>
      </c>
      <c r="AB44" s="68">
        <f t="shared" si="51"/>
        <v>0</v>
      </c>
      <c r="AC44" s="68">
        <f t="shared" si="51"/>
        <v>7612020</v>
      </c>
      <c r="AD44" s="68">
        <f>SUM(AD45:AD51)</f>
        <v>-15000</v>
      </c>
      <c r="AE44" s="68">
        <f>SUM(AE45:AE51)</f>
        <v>7597020</v>
      </c>
      <c r="AF44" s="68">
        <f>SUM(AF45:AF51)</f>
        <v>0</v>
      </c>
      <c r="AG44" s="68">
        <f>SUM(AG45:AG51)</f>
        <v>7597020</v>
      </c>
    </row>
    <row r="45" spans="1:33" s="23" customFormat="1" ht="21.75" customHeight="1">
      <c r="A45" s="69"/>
      <c r="B45" s="70"/>
      <c r="C45" s="71" t="s">
        <v>165</v>
      </c>
      <c r="D45" s="74" t="s">
        <v>30</v>
      </c>
      <c r="E45" s="68">
        <v>6712218</v>
      </c>
      <c r="F45" s="68"/>
      <c r="G45" s="68">
        <f aca="true" t="shared" si="52" ref="G45:G51">SUM(E45:F45)</f>
        <v>6712218</v>
      </c>
      <c r="H45" s="68"/>
      <c r="I45" s="68">
        <f aca="true" t="shared" si="53" ref="I45:I51">SUM(G45:H45)</f>
        <v>6712218</v>
      </c>
      <c r="J45" s="68">
        <f>40254+58897+58631</f>
        <v>157782</v>
      </c>
      <c r="K45" s="68">
        <f aca="true" t="shared" si="54" ref="K45:K51">SUM(I45:J45)</f>
        <v>6870000</v>
      </c>
      <c r="L45" s="68"/>
      <c r="M45" s="68">
        <f aca="true" t="shared" si="55" ref="M45:M51">SUM(K45:L45)</f>
        <v>6870000</v>
      </c>
      <c r="N45" s="68"/>
      <c r="O45" s="68">
        <f aca="true" t="shared" si="56" ref="O45:O51">SUM(M45:N45)</f>
        <v>6870000</v>
      </c>
      <c r="P45" s="68"/>
      <c r="Q45" s="68">
        <f aca="true" t="shared" si="57" ref="Q45:Q51">SUM(O45:P45)</f>
        <v>6870000</v>
      </c>
      <c r="R45" s="68"/>
      <c r="S45" s="68">
        <f aca="true" t="shared" si="58" ref="S45:S51">SUM(Q45:R45)</f>
        <v>6870000</v>
      </c>
      <c r="T45" s="68"/>
      <c r="U45" s="68">
        <f aca="true" t="shared" si="59" ref="U45:U51">SUM(S45:T45)</f>
        <v>6870000</v>
      </c>
      <c r="V45" s="68"/>
      <c r="W45" s="68">
        <f aca="true" t="shared" si="60" ref="W45:W51">SUM(U45:V45)</f>
        <v>6870000</v>
      </c>
      <c r="X45" s="68"/>
      <c r="Y45" s="68">
        <f aca="true" t="shared" si="61" ref="Y45:Y51">SUM(W45:X45)</f>
        <v>6870000</v>
      </c>
      <c r="Z45" s="68"/>
      <c r="AA45" s="68">
        <f aca="true" t="shared" si="62" ref="AA45:AA51">SUM(Y45:Z45)</f>
        <v>6870000</v>
      </c>
      <c r="AB45" s="68"/>
      <c r="AC45" s="68">
        <f aca="true" t="shared" si="63" ref="AC45:AC51">SUM(AA45:AB45)</f>
        <v>6870000</v>
      </c>
      <c r="AD45" s="68"/>
      <c r="AE45" s="68">
        <f aca="true" t="shared" si="64" ref="AE45:AE51">SUM(AC45:AD45)</f>
        <v>6870000</v>
      </c>
      <c r="AF45" s="68"/>
      <c r="AG45" s="68">
        <f aca="true" t="shared" si="65" ref="AG45:AG51">SUM(AE45:AF45)</f>
        <v>6870000</v>
      </c>
    </row>
    <row r="46" spans="1:33" s="23" customFormat="1" ht="21.75" customHeight="1">
      <c r="A46" s="69"/>
      <c r="B46" s="70"/>
      <c r="C46" s="71" t="s">
        <v>166</v>
      </c>
      <c r="D46" s="74" t="s">
        <v>31</v>
      </c>
      <c r="E46" s="68">
        <v>26903</v>
      </c>
      <c r="F46" s="68"/>
      <c r="G46" s="68">
        <f t="shared" si="52"/>
        <v>26903</v>
      </c>
      <c r="H46" s="68"/>
      <c r="I46" s="68">
        <f t="shared" si="53"/>
        <v>26903</v>
      </c>
      <c r="J46" s="68"/>
      <c r="K46" s="68">
        <f t="shared" si="54"/>
        <v>26903</v>
      </c>
      <c r="L46" s="68"/>
      <c r="M46" s="68">
        <f t="shared" si="55"/>
        <v>26903</v>
      </c>
      <c r="N46" s="68"/>
      <c r="O46" s="68">
        <f t="shared" si="56"/>
        <v>26903</v>
      </c>
      <c r="P46" s="68"/>
      <c r="Q46" s="68">
        <f t="shared" si="57"/>
        <v>26903</v>
      </c>
      <c r="R46" s="68"/>
      <c r="S46" s="68">
        <f t="shared" si="58"/>
        <v>26903</v>
      </c>
      <c r="T46" s="68"/>
      <c r="U46" s="68">
        <f t="shared" si="59"/>
        <v>26903</v>
      </c>
      <c r="V46" s="68"/>
      <c r="W46" s="68">
        <f t="shared" si="60"/>
        <v>26903</v>
      </c>
      <c r="X46" s="68"/>
      <c r="Y46" s="68">
        <f t="shared" si="61"/>
        <v>26903</v>
      </c>
      <c r="Z46" s="68"/>
      <c r="AA46" s="68">
        <f t="shared" si="62"/>
        <v>26903</v>
      </c>
      <c r="AB46" s="68"/>
      <c r="AC46" s="68">
        <f t="shared" si="63"/>
        <v>26903</v>
      </c>
      <c r="AD46" s="68"/>
      <c r="AE46" s="68">
        <f t="shared" si="64"/>
        <v>26903</v>
      </c>
      <c r="AF46" s="68"/>
      <c r="AG46" s="68">
        <f t="shared" si="65"/>
        <v>26903</v>
      </c>
    </row>
    <row r="47" spans="1:33" s="23" customFormat="1" ht="21.75" customHeight="1">
      <c r="A47" s="69"/>
      <c r="B47" s="70"/>
      <c r="C47" s="71" t="s">
        <v>167</v>
      </c>
      <c r="D47" s="74" t="s">
        <v>32</v>
      </c>
      <c r="E47" s="68">
        <v>318660</v>
      </c>
      <c r="F47" s="68"/>
      <c r="G47" s="68">
        <f t="shared" si="52"/>
        <v>318660</v>
      </c>
      <c r="H47" s="68"/>
      <c r="I47" s="68">
        <f t="shared" si="53"/>
        <v>318660</v>
      </c>
      <c r="J47" s="68">
        <f>1660+1720+1539</f>
        <v>4919</v>
      </c>
      <c r="K47" s="68">
        <f t="shared" si="54"/>
        <v>323579</v>
      </c>
      <c r="L47" s="68"/>
      <c r="M47" s="68">
        <f t="shared" si="55"/>
        <v>323579</v>
      </c>
      <c r="N47" s="68"/>
      <c r="O47" s="68">
        <f t="shared" si="56"/>
        <v>323579</v>
      </c>
      <c r="P47" s="68"/>
      <c r="Q47" s="68">
        <f t="shared" si="57"/>
        <v>323579</v>
      </c>
      <c r="R47" s="68"/>
      <c r="S47" s="68">
        <f t="shared" si="58"/>
        <v>323579</v>
      </c>
      <c r="T47" s="68"/>
      <c r="U47" s="68">
        <f t="shared" si="59"/>
        <v>323579</v>
      </c>
      <c r="V47" s="68"/>
      <c r="W47" s="68">
        <f t="shared" si="60"/>
        <v>323579</v>
      </c>
      <c r="X47" s="68"/>
      <c r="Y47" s="68">
        <f t="shared" si="61"/>
        <v>323579</v>
      </c>
      <c r="Z47" s="68"/>
      <c r="AA47" s="68">
        <f t="shared" si="62"/>
        <v>323579</v>
      </c>
      <c r="AB47" s="68"/>
      <c r="AC47" s="68">
        <f t="shared" si="63"/>
        <v>323579</v>
      </c>
      <c r="AD47" s="68"/>
      <c r="AE47" s="68">
        <f t="shared" si="64"/>
        <v>323579</v>
      </c>
      <c r="AF47" s="68"/>
      <c r="AG47" s="68">
        <f t="shared" si="65"/>
        <v>323579</v>
      </c>
    </row>
    <row r="48" spans="1:33" s="23" customFormat="1" ht="21.75" customHeight="1">
      <c r="A48" s="69"/>
      <c r="B48" s="70"/>
      <c r="C48" s="71" t="s">
        <v>168</v>
      </c>
      <c r="D48" s="74" t="s">
        <v>33</v>
      </c>
      <c r="E48" s="68">
        <v>60000</v>
      </c>
      <c r="F48" s="68"/>
      <c r="G48" s="68">
        <f t="shared" si="52"/>
        <v>60000</v>
      </c>
      <c r="H48" s="68"/>
      <c r="I48" s="68">
        <f t="shared" si="53"/>
        <v>60000</v>
      </c>
      <c r="J48" s="68"/>
      <c r="K48" s="68">
        <f t="shared" si="54"/>
        <v>60000</v>
      </c>
      <c r="L48" s="68"/>
      <c r="M48" s="68">
        <f t="shared" si="55"/>
        <v>60000</v>
      </c>
      <c r="N48" s="68"/>
      <c r="O48" s="68">
        <f t="shared" si="56"/>
        <v>60000</v>
      </c>
      <c r="P48" s="68"/>
      <c r="Q48" s="68">
        <f t="shared" si="57"/>
        <v>60000</v>
      </c>
      <c r="R48" s="68"/>
      <c r="S48" s="68">
        <f t="shared" si="58"/>
        <v>60000</v>
      </c>
      <c r="T48" s="68"/>
      <c r="U48" s="68">
        <f t="shared" si="59"/>
        <v>60000</v>
      </c>
      <c r="V48" s="68"/>
      <c r="W48" s="68">
        <f t="shared" si="60"/>
        <v>60000</v>
      </c>
      <c r="X48" s="68"/>
      <c r="Y48" s="68">
        <f t="shared" si="61"/>
        <v>60000</v>
      </c>
      <c r="Z48" s="68"/>
      <c r="AA48" s="68">
        <f t="shared" si="62"/>
        <v>60000</v>
      </c>
      <c r="AB48" s="68"/>
      <c r="AC48" s="68">
        <f t="shared" si="63"/>
        <v>60000</v>
      </c>
      <c r="AD48" s="68"/>
      <c r="AE48" s="68">
        <f t="shared" si="64"/>
        <v>60000</v>
      </c>
      <c r="AF48" s="68"/>
      <c r="AG48" s="68">
        <f t="shared" si="65"/>
        <v>60000</v>
      </c>
    </row>
    <row r="49" spans="1:33" s="23" customFormat="1" ht="21.75" customHeight="1">
      <c r="A49" s="69"/>
      <c r="B49" s="70"/>
      <c r="C49" s="71" t="s">
        <v>171</v>
      </c>
      <c r="D49" s="74" t="s">
        <v>36</v>
      </c>
      <c r="E49" s="68"/>
      <c r="F49" s="68"/>
      <c r="G49" s="68"/>
      <c r="H49" s="68"/>
      <c r="I49" s="68"/>
      <c r="J49" s="68"/>
      <c r="K49" s="68">
        <v>0</v>
      </c>
      <c r="L49" s="68">
        <v>40000</v>
      </c>
      <c r="M49" s="68">
        <f t="shared" si="55"/>
        <v>40000</v>
      </c>
      <c r="N49" s="68"/>
      <c r="O49" s="68">
        <f t="shared" si="56"/>
        <v>40000</v>
      </c>
      <c r="P49" s="68"/>
      <c r="Q49" s="68">
        <f t="shared" si="57"/>
        <v>40000</v>
      </c>
      <c r="R49" s="68"/>
      <c r="S49" s="68">
        <f t="shared" si="58"/>
        <v>40000</v>
      </c>
      <c r="T49" s="68"/>
      <c r="U49" s="68">
        <f t="shared" si="59"/>
        <v>40000</v>
      </c>
      <c r="V49" s="68"/>
      <c r="W49" s="68">
        <f t="shared" si="60"/>
        <v>40000</v>
      </c>
      <c r="X49" s="68"/>
      <c r="Y49" s="68">
        <f t="shared" si="61"/>
        <v>40000</v>
      </c>
      <c r="Z49" s="68"/>
      <c r="AA49" s="68">
        <f t="shared" si="62"/>
        <v>40000</v>
      </c>
      <c r="AB49" s="68"/>
      <c r="AC49" s="68">
        <f t="shared" si="63"/>
        <v>40000</v>
      </c>
      <c r="AD49" s="68"/>
      <c r="AE49" s="68">
        <f t="shared" si="64"/>
        <v>40000</v>
      </c>
      <c r="AF49" s="68"/>
      <c r="AG49" s="68">
        <f t="shared" si="65"/>
        <v>40000</v>
      </c>
    </row>
    <row r="50" spans="1:33" s="23" customFormat="1" ht="24" customHeight="1">
      <c r="A50" s="69"/>
      <c r="B50" s="70"/>
      <c r="C50" s="66" t="s">
        <v>164</v>
      </c>
      <c r="D50" s="63" t="s">
        <v>198</v>
      </c>
      <c r="E50" s="78">
        <v>26000</v>
      </c>
      <c r="F50" s="78"/>
      <c r="G50" s="68">
        <f t="shared" si="52"/>
        <v>26000</v>
      </c>
      <c r="H50" s="78"/>
      <c r="I50" s="68">
        <f t="shared" si="53"/>
        <v>26000</v>
      </c>
      <c r="J50" s="78"/>
      <c r="K50" s="68">
        <f t="shared" si="54"/>
        <v>26000</v>
      </c>
      <c r="L50" s="78"/>
      <c r="M50" s="68">
        <f t="shared" si="55"/>
        <v>26000</v>
      </c>
      <c r="N50" s="78"/>
      <c r="O50" s="68">
        <f t="shared" si="56"/>
        <v>26000</v>
      </c>
      <c r="P50" s="78"/>
      <c r="Q50" s="68">
        <f t="shared" si="57"/>
        <v>26000</v>
      </c>
      <c r="R50" s="78"/>
      <c r="S50" s="68">
        <f t="shared" si="58"/>
        <v>26000</v>
      </c>
      <c r="T50" s="78"/>
      <c r="U50" s="68">
        <f t="shared" si="59"/>
        <v>26000</v>
      </c>
      <c r="V50" s="78"/>
      <c r="W50" s="68">
        <f t="shared" si="60"/>
        <v>26000</v>
      </c>
      <c r="X50" s="78"/>
      <c r="Y50" s="68">
        <f t="shared" si="61"/>
        <v>26000</v>
      </c>
      <c r="Z50" s="78"/>
      <c r="AA50" s="68">
        <f t="shared" si="62"/>
        <v>26000</v>
      </c>
      <c r="AB50" s="78"/>
      <c r="AC50" s="68">
        <f t="shared" si="63"/>
        <v>26000</v>
      </c>
      <c r="AD50" s="78">
        <v>-15000</v>
      </c>
      <c r="AE50" s="68">
        <f t="shared" si="64"/>
        <v>11000</v>
      </c>
      <c r="AF50" s="78"/>
      <c r="AG50" s="68">
        <f t="shared" si="65"/>
        <v>11000</v>
      </c>
    </row>
    <row r="51" spans="1:33" s="23" customFormat="1" ht="22.5">
      <c r="A51" s="69"/>
      <c r="B51" s="70"/>
      <c r="C51" s="71">
        <v>2680</v>
      </c>
      <c r="D51" s="74" t="s">
        <v>487</v>
      </c>
      <c r="E51" s="68">
        <v>265538</v>
      </c>
      <c r="F51" s="68"/>
      <c r="G51" s="68">
        <f t="shared" si="52"/>
        <v>265538</v>
      </c>
      <c r="H51" s="68"/>
      <c r="I51" s="68">
        <f t="shared" si="53"/>
        <v>265538</v>
      </c>
      <c r="J51" s="68"/>
      <c r="K51" s="68">
        <f t="shared" si="54"/>
        <v>265538</v>
      </c>
      <c r="L51" s="68"/>
      <c r="M51" s="68">
        <f t="shared" si="55"/>
        <v>265538</v>
      </c>
      <c r="N51" s="68"/>
      <c r="O51" s="68">
        <f t="shared" si="56"/>
        <v>265538</v>
      </c>
      <c r="P51" s="68"/>
      <c r="Q51" s="68">
        <f t="shared" si="57"/>
        <v>265538</v>
      </c>
      <c r="R51" s="68"/>
      <c r="S51" s="68">
        <f t="shared" si="58"/>
        <v>265538</v>
      </c>
      <c r="T51" s="68"/>
      <c r="U51" s="68">
        <f t="shared" si="59"/>
        <v>265538</v>
      </c>
      <c r="V51" s="68"/>
      <c r="W51" s="68">
        <f t="shared" si="60"/>
        <v>265538</v>
      </c>
      <c r="X51" s="68"/>
      <c r="Y51" s="68">
        <f t="shared" si="61"/>
        <v>265538</v>
      </c>
      <c r="Z51" s="68"/>
      <c r="AA51" s="68">
        <f t="shared" si="62"/>
        <v>265538</v>
      </c>
      <c r="AB51" s="68"/>
      <c r="AC51" s="68">
        <f t="shared" si="63"/>
        <v>265538</v>
      </c>
      <c r="AD51" s="68"/>
      <c r="AE51" s="68">
        <f t="shared" si="64"/>
        <v>265538</v>
      </c>
      <c r="AF51" s="68"/>
      <c r="AG51" s="68">
        <f t="shared" si="65"/>
        <v>265538</v>
      </c>
    </row>
    <row r="52" spans="1:33" s="23" customFormat="1" ht="60.75" customHeight="1">
      <c r="A52" s="69"/>
      <c r="B52" s="70">
        <v>75616</v>
      </c>
      <c r="C52" s="71"/>
      <c r="D52" s="74" t="s">
        <v>248</v>
      </c>
      <c r="E52" s="68">
        <f aca="true" t="shared" si="66" ref="E52:K52">SUM(E53:E61)</f>
        <v>3801789</v>
      </c>
      <c r="F52" s="68">
        <f t="shared" si="66"/>
        <v>0</v>
      </c>
      <c r="G52" s="68">
        <f t="shared" si="66"/>
        <v>3801789</v>
      </c>
      <c r="H52" s="68">
        <f t="shared" si="66"/>
        <v>0</v>
      </c>
      <c r="I52" s="68">
        <f t="shared" si="66"/>
        <v>3801789</v>
      </c>
      <c r="J52" s="68">
        <f t="shared" si="66"/>
        <v>0</v>
      </c>
      <c r="K52" s="68">
        <f t="shared" si="66"/>
        <v>3801789</v>
      </c>
      <c r="L52" s="68">
        <f aca="true" t="shared" si="67" ref="L52:Q52">SUM(L53:L61)</f>
        <v>5904</v>
      </c>
      <c r="M52" s="68">
        <f t="shared" si="67"/>
        <v>3807693</v>
      </c>
      <c r="N52" s="68">
        <f t="shared" si="67"/>
        <v>0</v>
      </c>
      <c r="O52" s="68">
        <f t="shared" si="67"/>
        <v>3807693</v>
      </c>
      <c r="P52" s="68">
        <f t="shared" si="67"/>
        <v>0</v>
      </c>
      <c r="Q52" s="68">
        <f t="shared" si="67"/>
        <v>3807693</v>
      </c>
      <c r="R52" s="68">
        <f aca="true" t="shared" si="68" ref="R52:W52">SUM(R53:R61)</f>
        <v>0</v>
      </c>
      <c r="S52" s="68">
        <f t="shared" si="68"/>
        <v>3807693</v>
      </c>
      <c r="T52" s="68">
        <f t="shared" si="68"/>
        <v>0</v>
      </c>
      <c r="U52" s="68">
        <f t="shared" si="68"/>
        <v>3807693</v>
      </c>
      <c r="V52" s="68">
        <f t="shared" si="68"/>
        <v>0</v>
      </c>
      <c r="W52" s="68">
        <f t="shared" si="68"/>
        <v>3807693</v>
      </c>
      <c r="X52" s="68">
        <f aca="true" t="shared" si="69" ref="X52:AC52">SUM(X53:X61)</f>
        <v>0</v>
      </c>
      <c r="Y52" s="68">
        <f t="shared" si="69"/>
        <v>3807693</v>
      </c>
      <c r="Z52" s="68">
        <f t="shared" si="69"/>
        <v>0</v>
      </c>
      <c r="AA52" s="68">
        <f t="shared" si="69"/>
        <v>3807693</v>
      </c>
      <c r="AB52" s="68">
        <f t="shared" si="69"/>
        <v>0</v>
      </c>
      <c r="AC52" s="68">
        <f t="shared" si="69"/>
        <v>3807693</v>
      </c>
      <c r="AD52" s="68">
        <f>SUM(AD53:AD61)</f>
        <v>28000</v>
      </c>
      <c r="AE52" s="68">
        <f>SUM(AE53:AE61)</f>
        <v>3835693</v>
      </c>
      <c r="AF52" s="68">
        <f>SUM(AF53:AF61)</f>
        <v>0</v>
      </c>
      <c r="AG52" s="68">
        <f>SUM(AG53:AG61)</f>
        <v>3835693</v>
      </c>
    </row>
    <row r="53" spans="1:33" s="23" customFormat="1" ht="21.75" customHeight="1">
      <c r="A53" s="69"/>
      <c r="B53" s="70"/>
      <c r="C53" s="71" t="s">
        <v>165</v>
      </c>
      <c r="D53" s="74" t="s">
        <v>30</v>
      </c>
      <c r="E53" s="68">
        <v>2460154</v>
      </c>
      <c r="F53" s="68"/>
      <c r="G53" s="68">
        <f>SUM(E53:F53)</f>
        <v>2460154</v>
      </c>
      <c r="H53" s="68"/>
      <c r="I53" s="68">
        <f>SUM(G53:H53)</f>
        <v>2460154</v>
      </c>
      <c r="J53" s="68"/>
      <c r="K53" s="68">
        <f>SUM(I53:J53)</f>
        <v>2460154</v>
      </c>
      <c r="L53" s="68"/>
      <c r="M53" s="68">
        <f>SUM(K53:L53)</f>
        <v>2460154</v>
      </c>
      <c r="N53" s="68"/>
      <c r="O53" s="68">
        <f>SUM(M53:N53)</f>
        <v>2460154</v>
      </c>
      <c r="P53" s="68"/>
      <c r="Q53" s="68">
        <f>SUM(O53:P53)</f>
        <v>2460154</v>
      </c>
      <c r="R53" s="68"/>
      <c r="S53" s="68">
        <f>SUM(Q53:R53)</f>
        <v>2460154</v>
      </c>
      <c r="T53" s="68"/>
      <c r="U53" s="68">
        <f>SUM(S53:T53)</f>
        <v>2460154</v>
      </c>
      <c r="V53" s="68"/>
      <c r="W53" s="68">
        <f>SUM(U53:V53)</f>
        <v>2460154</v>
      </c>
      <c r="X53" s="68"/>
      <c r="Y53" s="68">
        <f>SUM(W53:X53)</f>
        <v>2460154</v>
      </c>
      <c r="Z53" s="68"/>
      <c r="AA53" s="68">
        <f>SUM(Y53:Z53)</f>
        <v>2460154</v>
      </c>
      <c r="AB53" s="68"/>
      <c r="AC53" s="68">
        <f>SUM(AA53:AB53)</f>
        <v>2460154</v>
      </c>
      <c r="AD53" s="68"/>
      <c r="AE53" s="68">
        <f>SUM(AC53:AD53)</f>
        <v>2460154</v>
      </c>
      <c r="AF53" s="68"/>
      <c r="AG53" s="68">
        <f>SUM(AE53:AF53)</f>
        <v>2460154</v>
      </c>
    </row>
    <row r="54" spans="1:33" s="23" customFormat="1" ht="21.75" customHeight="1">
      <c r="A54" s="69"/>
      <c r="B54" s="70"/>
      <c r="C54" s="71" t="s">
        <v>166</v>
      </c>
      <c r="D54" s="74" t="s">
        <v>31</v>
      </c>
      <c r="E54" s="68">
        <v>348755</v>
      </c>
      <c r="F54" s="68"/>
      <c r="G54" s="68">
        <f aca="true" t="shared" si="70" ref="G54:G61">SUM(E54:F54)</f>
        <v>348755</v>
      </c>
      <c r="H54" s="68"/>
      <c r="I54" s="68">
        <f aca="true" t="shared" si="71" ref="I54:I61">SUM(G54:H54)</f>
        <v>348755</v>
      </c>
      <c r="J54" s="68"/>
      <c r="K54" s="68">
        <f aca="true" t="shared" si="72" ref="K54:K61">SUM(I54:J54)</f>
        <v>348755</v>
      </c>
      <c r="L54" s="68"/>
      <c r="M54" s="68">
        <f aca="true" t="shared" si="73" ref="M54:M61">SUM(K54:L54)</f>
        <v>348755</v>
      </c>
      <c r="N54" s="68"/>
      <c r="O54" s="68">
        <f aca="true" t="shared" si="74" ref="O54:O61">SUM(M54:N54)</f>
        <v>348755</v>
      </c>
      <c r="P54" s="68"/>
      <c r="Q54" s="68">
        <f aca="true" t="shared" si="75" ref="Q54:Q61">SUM(O54:P54)</f>
        <v>348755</v>
      </c>
      <c r="R54" s="68"/>
      <c r="S54" s="68">
        <f aca="true" t="shared" si="76" ref="S54:S61">SUM(Q54:R54)</f>
        <v>348755</v>
      </c>
      <c r="T54" s="68"/>
      <c r="U54" s="68">
        <f aca="true" t="shared" si="77" ref="U54:U61">SUM(S54:T54)</f>
        <v>348755</v>
      </c>
      <c r="V54" s="68"/>
      <c r="W54" s="68">
        <f aca="true" t="shared" si="78" ref="W54:W61">SUM(U54:V54)</f>
        <v>348755</v>
      </c>
      <c r="X54" s="68"/>
      <c r="Y54" s="68">
        <f aca="true" t="shared" si="79" ref="Y54:Y61">SUM(W54:X54)</f>
        <v>348755</v>
      </c>
      <c r="Z54" s="68"/>
      <c r="AA54" s="68">
        <f aca="true" t="shared" si="80" ref="AA54:AA61">SUM(Y54:Z54)</f>
        <v>348755</v>
      </c>
      <c r="AB54" s="68"/>
      <c r="AC54" s="68">
        <f aca="true" t="shared" si="81" ref="AC54:AC61">SUM(AA54:AB54)</f>
        <v>348755</v>
      </c>
      <c r="AD54" s="68"/>
      <c r="AE54" s="68">
        <f aca="true" t="shared" si="82" ref="AE54:AE61">SUM(AC54:AD54)</f>
        <v>348755</v>
      </c>
      <c r="AF54" s="68"/>
      <c r="AG54" s="68">
        <f aca="true" t="shared" si="83" ref="AG54:AG61">SUM(AE54:AF54)</f>
        <v>348755</v>
      </c>
    </row>
    <row r="55" spans="1:33" s="23" customFormat="1" ht="21.75" customHeight="1">
      <c r="A55" s="69"/>
      <c r="B55" s="70"/>
      <c r="C55" s="71" t="s">
        <v>167</v>
      </c>
      <c r="D55" s="74" t="s">
        <v>32</v>
      </c>
      <c r="E55" s="68">
        <v>7880</v>
      </c>
      <c r="F55" s="68"/>
      <c r="G55" s="68">
        <f t="shared" si="70"/>
        <v>7880</v>
      </c>
      <c r="H55" s="68"/>
      <c r="I55" s="68">
        <f t="shared" si="71"/>
        <v>7880</v>
      </c>
      <c r="J55" s="68"/>
      <c r="K55" s="68">
        <f t="shared" si="72"/>
        <v>7880</v>
      </c>
      <c r="L55" s="68"/>
      <c r="M55" s="68">
        <f t="shared" si="73"/>
        <v>7880</v>
      </c>
      <c r="N55" s="68"/>
      <c r="O55" s="68">
        <f t="shared" si="74"/>
        <v>7880</v>
      </c>
      <c r="P55" s="68"/>
      <c r="Q55" s="68">
        <f t="shared" si="75"/>
        <v>7880</v>
      </c>
      <c r="R55" s="68"/>
      <c r="S55" s="68">
        <f t="shared" si="76"/>
        <v>7880</v>
      </c>
      <c r="T55" s="68"/>
      <c r="U55" s="68">
        <f t="shared" si="77"/>
        <v>7880</v>
      </c>
      <c r="V55" s="68"/>
      <c r="W55" s="68">
        <f t="shared" si="78"/>
        <v>7880</v>
      </c>
      <c r="X55" s="68"/>
      <c r="Y55" s="68">
        <f t="shared" si="79"/>
        <v>7880</v>
      </c>
      <c r="Z55" s="68"/>
      <c r="AA55" s="68">
        <f t="shared" si="80"/>
        <v>7880</v>
      </c>
      <c r="AB55" s="68"/>
      <c r="AC55" s="68">
        <f t="shared" si="81"/>
        <v>7880</v>
      </c>
      <c r="AD55" s="68"/>
      <c r="AE55" s="68">
        <f t="shared" si="82"/>
        <v>7880</v>
      </c>
      <c r="AF55" s="68"/>
      <c r="AG55" s="68">
        <f t="shared" si="83"/>
        <v>7880</v>
      </c>
    </row>
    <row r="56" spans="1:33" s="23" customFormat="1" ht="21.75" customHeight="1">
      <c r="A56" s="69"/>
      <c r="B56" s="70"/>
      <c r="C56" s="71" t="s">
        <v>168</v>
      </c>
      <c r="D56" s="74" t="s">
        <v>33</v>
      </c>
      <c r="E56" s="68">
        <v>250000</v>
      </c>
      <c r="F56" s="68"/>
      <c r="G56" s="68">
        <f t="shared" si="70"/>
        <v>250000</v>
      </c>
      <c r="H56" s="68"/>
      <c r="I56" s="68">
        <f t="shared" si="71"/>
        <v>250000</v>
      </c>
      <c r="J56" s="68"/>
      <c r="K56" s="68">
        <f t="shared" si="72"/>
        <v>250000</v>
      </c>
      <c r="L56" s="68"/>
      <c r="M56" s="68">
        <f t="shared" si="73"/>
        <v>250000</v>
      </c>
      <c r="N56" s="68"/>
      <c r="O56" s="68">
        <f t="shared" si="74"/>
        <v>250000</v>
      </c>
      <c r="P56" s="68"/>
      <c r="Q56" s="68">
        <f t="shared" si="75"/>
        <v>250000</v>
      </c>
      <c r="R56" s="68"/>
      <c r="S56" s="68">
        <f t="shared" si="76"/>
        <v>250000</v>
      </c>
      <c r="T56" s="68"/>
      <c r="U56" s="68">
        <f t="shared" si="77"/>
        <v>250000</v>
      </c>
      <c r="V56" s="68"/>
      <c r="W56" s="68">
        <f t="shared" si="78"/>
        <v>250000</v>
      </c>
      <c r="X56" s="68"/>
      <c r="Y56" s="68">
        <f t="shared" si="79"/>
        <v>250000</v>
      </c>
      <c r="Z56" s="68"/>
      <c r="AA56" s="68">
        <f t="shared" si="80"/>
        <v>250000</v>
      </c>
      <c r="AB56" s="68"/>
      <c r="AC56" s="68">
        <f t="shared" si="81"/>
        <v>250000</v>
      </c>
      <c r="AD56" s="68"/>
      <c r="AE56" s="68">
        <f t="shared" si="82"/>
        <v>250000</v>
      </c>
      <c r="AF56" s="68"/>
      <c r="AG56" s="68">
        <f t="shared" si="83"/>
        <v>250000</v>
      </c>
    </row>
    <row r="57" spans="1:33" s="23" customFormat="1" ht="21.75" customHeight="1">
      <c r="A57" s="69"/>
      <c r="B57" s="70"/>
      <c r="C57" s="71" t="s">
        <v>365</v>
      </c>
      <c r="D57" s="74" t="s">
        <v>366</v>
      </c>
      <c r="E57" s="68"/>
      <c r="F57" s="68"/>
      <c r="G57" s="68"/>
      <c r="H57" s="68"/>
      <c r="I57" s="68"/>
      <c r="J57" s="68"/>
      <c r="K57" s="68">
        <v>0</v>
      </c>
      <c r="L57" s="68">
        <v>5904</v>
      </c>
      <c r="M57" s="68">
        <f t="shared" si="73"/>
        <v>5904</v>
      </c>
      <c r="N57" s="68"/>
      <c r="O57" s="68">
        <f t="shared" si="74"/>
        <v>5904</v>
      </c>
      <c r="P57" s="68"/>
      <c r="Q57" s="68">
        <f t="shared" si="75"/>
        <v>5904</v>
      </c>
      <c r="R57" s="68"/>
      <c r="S57" s="68">
        <f t="shared" si="76"/>
        <v>5904</v>
      </c>
      <c r="T57" s="68"/>
      <c r="U57" s="68">
        <f t="shared" si="77"/>
        <v>5904</v>
      </c>
      <c r="V57" s="68"/>
      <c r="W57" s="68">
        <f t="shared" si="78"/>
        <v>5904</v>
      </c>
      <c r="X57" s="68"/>
      <c r="Y57" s="68">
        <f t="shared" si="79"/>
        <v>5904</v>
      </c>
      <c r="Z57" s="68"/>
      <c r="AA57" s="68">
        <f t="shared" si="80"/>
        <v>5904</v>
      </c>
      <c r="AB57" s="68"/>
      <c r="AC57" s="68">
        <f t="shared" si="81"/>
        <v>5904</v>
      </c>
      <c r="AD57" s="68">
        <v>13000</v>
      </c>
      <c r="AE57" s="68">
        <f t="shared" si="82"/>
        <v>18904</v>
      </c>
      <c r="AF57" s="68"/>
      <c r="AG57" s="68">
        <f t="shared" si="83"/>
        <v>18904</v>
      </c>
    </row>
    <row r="58" spans="1:33" s="23" customFormat="1" ht="21.75" customHeight="1">
      <c r="A58" s="69"/>
      <c r="B58" s="70"/>
      <c r="C58" s="71" t="s">
        <v>240</v>
      </c>
      <c r="D58" s="74" t="s">
        <v>241</v>
      </c>
      <c r="E58" s="68">
        <v>10000</v>
      </c>
      <c r="F58" s="68"/>
      <c r="G58" s="68">
        <f t="shared" si="70"/>
        <v>10000</v>
      </c>
      <c r="H58" s="68"/>
      <c r="I58" s="68">
        <f t="shared" si="71"/>
        <v>10000</v>
      </c>
      <c r="J58" s="68"/>
      <c r="K58" s="68">
        <f t="shared" si="72"/>
        <v>10000</v>
      </c>
      <c r="L58" s="68"/>
      <c r="M58" s="68">
        <f t="shared" si="73"/>
        <v>10000</v>
      </c>
      <c r="N58" s="68"/>
      <c r="O58" s="68">
        <f t="shared" si="74"/>
        <v>10000</v>
      </c>
      <c r="P58" s="68"/>
      <c r="Q58" s="68">
        <f t="shared" si="75"/>
        <v>10000</v>
      </c>
      <c r="R58" s="68"/>
      <c r="S58" s="68">
        <f t="shared" si="76"/>
        <v>10000</v>
      </c>
      <c r="T58" s="68"/>
      <c r="U58" s="68">
        <f t="shared" si="77"/>
        <v>10000</v>
      </c>
      <c r="V58" s="68"/>
      <c r="W58" s="68">
        <f t="shared" si="78"/>
        <v>10000</v>
      </c>
      <c r="X58" s="68"/>
      <c r="Y58" s="68">
        <f t="shared" si="79"/>
        <v>10000</v>
      </c>
      <c r="Z58" s="68"/>
      <c r="AA58" s="68">
        <f t="shared" si="80"/>
        <v>10000</v>
      </c>
      <c r="AB58" s="68"/>
      <c r="AC58" s="68">
        <f t="shared" si="81"/>
        <v>10000</v>
      </c>
      <c r="AD58" s="68"/>
      <c r="AE58" s="68">
        <f t="shared" si="82"/>
        <v>10000</v>
      </c>
      <c r="AF58" s="68"/>
      <c r="AG58" s="68">
        <f t="shared" si="83"/>
        <v>10000</v>
      </c>
    </row>
    <row r="59" spans="1:33" s="23" customFormat="1" ht="21" customHeight="1">
      <c r="A59" s="69"/>
      <c r="B59" s="70"/>
      <c r="C59" s="71" t="s">
        <v>169</v>
      </c>
      <c r="D59" s="74" t="s">
        <v>35</v>
      </c>
      <c r="E59" s="68">
        <v>70000</v>
      </c>
      <c r="F59" s="68"/>
      <c r="G59" s="68">
        <f t="shared" si="70"/>
        <v>70000</v>
      </c>
      <c r="H59" s="68"/>
      <c r="I59" s="68">
        <f t="shared" si="71"/>
        <v>70000</v>
      </c>
      <c r="J59" s="68"/>
      <c r="K59" s="68">
        <f t="shared" si="72"/>
        <v>70000</v>
      </c>
      <c r="L59" s="68"/>
      <c r="M59" s="68">
        <f t="shared" si="73"/>
        <v>70000</v>
      </c>
      <c r="N59" s="68"/>
      <c r="O59" s="68">
        <f t="shared" si="74"/>
        <v>70000</v>
      </c>
      <c r="P59" s="68"/>
      <c r="Q59" s="68">
        <f t="shared" si="75"/>
        <v>70000</v>
      </c>
      <c r="R59" s="68"/>
      <c r="S59" s="68">
        <f t="shared" si="76"/>
        <v>70000</v>
      </c>
      <c r="T59" s="68"/>
      <c r="U59" s="68">
        <f t="shared" si="77"/>
        <v>70000</v>
      </c>
      <c r="V59" s="68"/>
      <c r="W59" s="68">
        <f t="shared" si="78"/>
        <v>70000</v>
      </c>
      <c r="X59" s="68"/>
      <c r="Y59" s="68">
        <f t="shared" si="79"/>
        <v>70000</v>
      </c>
      <c r="Z59" s="68"/>
      <c r="AA59" s="68">
        <f t="shared" si="80"/>
        <v>70000</v>
      </c>
      <c r="AB59" s="68"/>
      <c r="AC59" s="68">
        <f t="shared" si="81"/>
        <v>70000</v>
      </c>
      <c r="AD59" s="68"/>
      <c r="AE59" s="68">
        <f t="shared" si="82"/>
        <v>70000</v>
      </c>
      <c r="AF59" s="68"/>
      <c r="AG59" s="68">
        <f t="shared" si="83"/>
        <v>70000</v>
      </c>
    </row>
    <row r="60" spans="1:33" s="23" customFormat="1" ht="21.75" customHeight="1">
      <c r="A60" s="69"/>
      <c r="B60" s="70"/>
      <c r="C60" s="71" t="s">
        <v>171</v>
      </c>
      <c r="D60" s="74" t="s">
        <v>36</v>
      </c>
      <c r="E60" s="68">
        <v>600000</v>
      </c>
      <c r="F60" s="68"/>
      <c r="G60" s="68">
        <f t="shared" si="70"/>
        <v>600000</v>
      </c>
      <c r="H60" s="68"/>
      <c r="I60" s="68">
        <f t="shared" si="71"/>
        <v>600000</v>
      </c>
      <c r="J60" s="68"/>
      <c r="K60" s="68">
        <f t="shared" si="72"/>
        <v>600000</v>
      </c>
      <c r="L60" s="68"/>
      <c r="M60" s="68">
        <f t="shared" si="73"/>
        <v>600000</v>
      </c>
      <c r="N60" s="68"/>
      <c r="O60" s="68">
        <f t="shared" si="74"/>
        <v>600000</v>
      </c>
      <c r="P60" s="68"/>
      <c r="Q60" s="68">
        <f t="shared" si="75"/>
        <v>600000</v>
      </c>
      <c r="R60" s="68"/>
      <c r="S60" s="68">
        <f t="shared" si="76"/>
        <v>600000</v>
      </c>
      <c r="T60" s="68"/>
      <c r="U60" s="68">
        <f t="shared" si="77"/>
        <v>600000</v>
      </c>
      <c r="V60" s="68"/>
      <c r="W60" s="68">
        <f t="shared" si="78"/>
        <v>600000</v>
      </c>
      <c r="X60" s="68"/>
      <c r="Y60" s="68">
        <f t="shared" si="79"/>
        <v>600000</v>
      </c>
      <c r="Z60" s="68"/>
      <c r="AA60" s="68">
        <f t="shared" si="80"/>
        <v>600000</v>
      </c>
      <c r="AB60" s="68"/>
      <c r="AC60" s="68">
        <f t="shared" si="81"/>
        <v>600000</v>
      </c>
      <c r="AD60" s="68"/>
      <c r="AE60" s="68">
        <f t="shared" si="82"/>
        <v>600000</v>
      </c>
      <c r="AF60" s="68"/>
      <c r="AG60" s="68">
        <f t="shared" si="83"/>
        <v>600000</v>
      </c>
    </row>
    <row r="61" spans="1:33" s="23" customFormat="1" ht="24" customHeight="1">
      <c r="A61" s="69"/>
      <c r="B61" s="70"/>
      <c r="C61" s="71" t="s">
        <v>164</v>
      </c>
      <c r="D61" s="74" t="s">
        <v>198</v>
      </c>
      <c r="E61" s="68">
        <v>55000</v>
      </c>
      <c r="F61" s="68"/>
      <c r="G61" s="68">
        <f t="shared" si="70"/>
        <v>55000</v>
      </c>
      <c r="H61" s="68"/>
      <c r="I61" s="68">
        <f t="shared" si="71"/>
        <v>55000</v>
      </c>
      <c r="J61" s="68"/>
      <c r="K61" s="68">
        <f t="shared" si="72"/>
        <v>55000</v>
      </c>
      <c r="L61" s="68"/>
      <c r="M61" s="68">
        <f t="shared" si="73"/>
        <v>55000</v>
      </c>
      <c r="N61" s="68"/>
      <c r="O61" s="68">
        <f t="shared" si="74"/>
        <v>55000</v>
      </c>
      <c r="P61" s="68"/>
      <c r="Q61" s="68">
        <f t="shared" si="75"/>
        <v>55000</v>
      </c>
      <c r="R61" s="68"/>
      <c r="S61" s="68">
        <f t="shared" si="76"/>
        <v>55000</v>
      </c>
      <c r="T61" s="68"/>
      <c r="U61" s="68">
        <f t="shared" si="77"/>
        <v>55000</v>
      </c>
      <c r="V61" s="68"/>
      <c r="W61" s="68">
        <f t="shared" si="78"/>
        <v>55000</v>
      </c>
      <c r="X61" s="68"/>
      <c r="Y61" s="68">
        <f t="shared" si="79"/>
        <v>55000</v>
      </c>
      <c r="Z61" s="68"/>
      <c r="AA61" s="68">
        <f t="shared" si="80"/>
        <v>55000</v>
      </c>
      <c r="AB61" s="68"/>
      <c r="AC61" s="68">
        <f t="shared" si="81"/>
        <v>55000</v>
      </c>
      <c r="AD61" s="68">
        <v>15000</v>
      </c>
      <c r="AE61" s="68">
        <f t="shared" si="82"/>
        <v>70000</v>
      </c>
      <c r="AF61" s="68"/>
      <c r="AG61" s="68">
        <f t="shared" si="83"/>
        <v>70000</v>
      </c>
    </row>
    <row r="62" spans="1:33" s="23" customFormat="1" ht="33.75">
      <c r="A62" s="69"/>
      <c r="B62" s="70" t="s">
        <v>37</v>
      </c>
      <c r="C62" s="77"/>
      <c r="D62" s="74" t="s">
        <v>38</v>
      </c>
      <c r="E62" s="68">
        <f>SUM(E63:E66)</f>
        <v>727000</v>
      </c>
      <c r="F62" s="68">
        <f>SUM(F63:F66)</f>
        <v>0</v>
      </c>
      <c r="G62" s="68">
        <f>SUM(G63:G66)</f>
        <v>727000</v>
      </c>
      <c r="H62" s="68">
        <f>SUM(H63:H66)</f>
        <v>0</v>
      </c>
      <c r="I62" s="68">
        <f aca="true" t="shared" si="84" ref="I62:O62">SUM(I63:I67)</f>
        <v>727000</v>
      </c>
      <c r="J62" s="68">
        <f t="shared" si="84"/>
        <v>122117</v>
      </c>
      <c r="K62" s="68">
        <f t="shared" si="84"/>
        <v>849117</v>
      </c>
      <c r="L62" s="68">
        <f t="shared" si="84"/>
        <v>0</v>
      </c>
      <c r="M62" s="68">
        <f t="shared" si="84"/>
        <v>849117</v>
      </c>
      <c r="N62" s="68">
        <f t="shared" si="84"/>
        <v>0</v>
      </c>
      <c r="O62" s="68">
        <f t="shared" si="84"/>
        <v>849117</v>
      </c>
      <c r="P62" s="68">
        <f aca="true" t="shared" si="85" ref="P62:U62">SUM(P63:P67)</f>
        <v>0</v>
      </c>
      <c r="Q62" s="68">
        <f t="shared" si="85"/>
        <v>849117</v>
      </c>
      <c r="R62" s="68">
        <f t="shared" si="85"/>
        <v>0</v>
      </c>
      <c r="S62" s="68">
        <f t="shared" si="85"/>
        <v>849117</v>
      </c>
      <c r="T62" s="68">
        <f t="shared" si="85"/>
        <v>0</v>
      </c>
      <c r="U62" s="68">
        <f t="shared" si="85"/>
        <v>849117</v>
      </c>
      <c r="V62" s="68">
        <f aca="true" t="shared" si="86" ref="V62:AA62">SUM(V63:V67)</f>
        <v>0</v>
      </c>
      <c r="W62" s="68">
        <f t="shared" si="86"/>
        <v>849117</v>
      </c>
      <c r="X62" s="68">
        <f t="shared" si="86"/>
        <v>0</v>
      </c>
      <c r="Y62" s="68">
        <f t="shared" si="86"/>
        <v>849117</v>
      </c>
      <c r="Z62" s="68">
        <f t="shared" si="86"/>
        <v>0</v>
      </c>
      <c r="AA62" s="68">
        <f t="shared" si="86"/>
        <v>849117</v>
      </c>
      <c r="AB62" s="68">
        <f aca="true" t="shared" si="87" ref="AB62:AG62">SUM(AB63:AB67)</f>
        <v>0</v>
      </c>
      <c r="AC62" s="68">
        <f t="shared" si="87"/>
        <v>849117</v>
      </c>
      <c r="AD62" s="68">
        <f t="shared" si="87"/>
        <v>-147055</v>
      </c>
      <c r="AE62" s="68">
        <f t="shared" si="87"/>
        <v>702062</v>
      </c>
      <c r="AF62" s="68">
        <f t="shared" si="87"/>
        <v>0</v>
      </c>
      <c r="AG62" s="68">
        <f t="shared" si="87"/>
        <v>702062</v>
      </c>
    </row>
    <row r="63" spans="1:33" s="23" customFormat="1" ht="21.75" customHeight="1">
      <c r="A63" s="69"/>
      <c r="B63" s="70"/>
      <c r="C63" s="71" t="s">
        <v>172</v>
      </c>
      <c r="D63" s="74" t="s">
        <v>39</v>
      </c>
      <c r="E63" s="68">
        <v>150000</v>
      </c>
      <c r="F63" s="68"/>
      <c r="G63" s="68">
        <f>SUM(E63:F63)</f>
        <v>150000</v>
      </c>
      <c r="H63" s="68"/>
      <c r="I63" s="68">
        <f>SUM(G63:H63)</f>
        <v>150000</v>
      </c>
      <c r="J63" s="68"/>
      <c r="K63" s="68">
        <f>SUM(I63:J63)</f>
        <v>150000</v>
      </c>
      <c r="L63" s="68"/>
      <c r="M63" s="68">
        <f>SUM(K63:L63)</f>
        <v>150000</v>
      </c>
      <c r="N63" s="68"/>
      <c r="O63" s="68">
        <f>SUM(M63:N63)</f>
        <v>150000</v>
      </c>
      <c r="P63" s="68"/>
      <c r="Q63" s="68">
        <f>SUM(O63:P63)</f>
        <v>150000</v>
      </c>
      <c r="R63" s="68"/>
      <c r="S63" s="68">
        <f>SUM(Q63:R63)</f>
        <v>150000</v>
      </c>
      <c r="T63" s="68"/>
      <c r="U63" s="68">
        <f>SUM(S63:T63)</f>
        <v>150000</v>
      </c>
      <c r="V63" s="68"/>
      <c r="W63" s="68">
        <f>SUM(U63:V63)</f>
        <v>150000</v>
      </c>
      <c r="X63" s="68"/>
      <c r="Y63" s="68">
        <f>SUM(W63:X63)</f>
        <v>150000</v>
      </c>
      <c r="Z63" s="68"/>
      <c r="AA63" s="68">
        <f>SUM(Y63:Z63)</f>
        <v>150000</v>
      </c>
      <c r="AB63" s="68"/>
      <c r="AC63" s="68">
        <f>SUM(AA63:AB63)</f>
        <v>150000</v>
      </c>
      <c r="AD63" s="68">
        <v>20000</v>
      </c>
      <c r="AE63" s="68">
        <f>SUM(AC63:AD63)</f>
        <v>170000</v>
      </c>
      <c r="AF63" s="68"/>
      <c r="AG63" s="68">
        <f>SUM(AE63:AF63)</f>
        <v>170000</v>
      </c>
    </row>
    <row r="64" spans="1:33" s="23" customFormat="1" ht="21.75" customHeight="1">
      <c r="A64" s="69"/>
      <c r="B64" s="70"/>
      <c r="C64" s="71" t="s">
        <v>170</v>
      </c>
      <c r="D64" s="74" t="s">
        <v>34</v>
      </c>
      <c r="E64" s="68">
        <v>20000</v>
      </c>
      <c r="F64" s="68"/>
      <c r="G64" s="68">
        <f>SUM(E64:F64)</f>
        <v>20000</v>
      </c>
      <c r="H64" s="68"/>
      <c r="I64" s="68">
        <f>SUM(G64:H64)</f>
        <v>20000</v>
      </c>
      <c r="J64" s="68"/>
      <c r="K64" s="68">
        <f>SUM(I64:J64)</f>
        <v>20000</v>
      </c>
      <c r="L64" s="68"/>
      <c r="M64" s="68">
        <f>SUM(K64:L64)</f>
        <v>20000</v>
      </c>
      <c r="N64" s="68"/>
      <c r="O64" s="68">
        <f>SUM(M64:N64)</f>
        <v>20000</v>
      </c>
      <c r="P64" s="68"/>
      <c r="Q64" s="68">
        <f>SUM(O64:P64)</f>
        <v>20000</v>
      </c>
      <c r="R64" s="68"/>
      <c r="S64" s="68">
        <f>SUM(Q64:R64)</f>
        <v>20000</v>
      </c>
      <c r="T64" s="68"/>
      <c r="U64" s="68">
        <f>SUM(S64:T64)</f>
        <v>20000</v>
      </c>
      <c r="V64" s="68"/>
      <c r="W64" s="68">
        <f>SUM(U64:V64)</f>
        <v>20000</v>
      </c>
      <c r="X64" s="68"/>
      <c r="Y64" s="68">
        <f>SUM(W64:X64)</f>
        <v>20000</v>
      </c>
      <c r="Z64" s="68"/>
      <c r="AA64" s="68">
        <f>SUM(Y64:Z64)</f>
        <v>20000</v>
      </c>
      <c r="AB64" s="68"/>
      <c r="AC64" s="68">
        <f>SUM(AA64:AB64)</f>
        <v>20000</v>
      </c>
      <c r="AD64" s="68">
        <v>-9200</v>
      </c>
      <c r="AE64" s="68">
        <f>SUM(AC64:AD64)</f>
        <v>10800</v>
      </c>
      <c r="AF64" s="68"/>
      <c r="AG64" s="68">
        <f>SUM(AE64:AF64)</f>
        <v>10800</v>
      </c>
    </row>
    <row r="65" spans="1:33" s="23" customFormat="1" ht="24" customHeight="1">
      <c r="A65" s="69"/>
      <c r="B65" s="70"/>
      <c r="C65" s="71" t="s">
        <v>176</v>
      </c>
      <c r="D65" s="74" t="s">
        <v>360</v>
      </c>
      <c r="E65" s="68">
        <v>330000</v>
      </c>
      <c r="F65" s="68"/>
      <c r="G65" s="68">
        <f>SUM(E65:F65)</f>
        <v>330000</v>
      </c>
      <c r="H65" s="68"/>
      <c r="I65" s="68">
        <f>SUM(G65:H65)</f>
        <v>330000</v>
      </c>
      <c r="J65" s="68"/>
      <c r="K65" s="68">
        <f>SUM(I65:J65)</f>
        <v>330000</v>
      </c>
      <c r="L65" s="68"/>
      <c r="M65" s="68">
        <f>SUM(K65:L65)</f>
        <v>330000</v>
      </c>
      <c r="N65" s="68"/>
      <c r="O65" s="68">
        <f>SUM(M65:N65)</f>
        <v>330000</v>
      </c>
      <c r="P65" s="68"/>
      <c r="Q65" s="68">
        <f>SUM(O65:P65)</f>
        <v>330000</v>
      </c>
      <c r="R65" s="68"/>
      <c r="S65" s="68">
        <f>SUM(Q65:R65)</f>
        <v>330000</v>
      </c>
      <c r="T65" s="68"/>
      <c r="U65" s="68">
        <f>SUM(S65:T65)</f>
        <v>330000</v>
      </c>
      <c r="V65" s="68"/>
      <c r="W65" s="68">
        <f>SUM(U65:V65)</f>
        <v>330000</v>
      </c>
      <c r="X65" s="68"/>
      <c r="Y65" s="68">
        <f>SUM(W65:X65)</f>
        <v>330000</v>
      </c>
      <c r="Z65" s="68"/>
      <c r="AA65" s="68">
        <f>SUM(Y65:Z65)</f>
        <v>330000</v>
      </c>
      <c r="AB65" s="68"/>
      <c r="AC65" s="68">
        <f>SUM(AA65:AB65)</f>
        <v>330000</v>
      </c>
      <c r="AD65" s="68">
        <v>9145</v>
      </c>
      <c r="AE65" s="68">
        <f>SUM(AC65:AD65)</f>
        <v>339145</v>
      </c>
      <c r="AF65" s="68"/>
      <c r="AG65" s="68">
        <f>SUM(AE65:AF65)</f>
        <v>339145</v>
      </c>
    </row>
    <row r="66" spans="1:33" s="23" customFormat="1" ht="45">
      <c r="A66" s="69"/>
      <c r="B66" s="70"/>
      <c r="C66" s="71" t="s">
        <v>157</v>
      </c>
      <c r="D66" s="74" t="s">
        <v>7</v>
      </c>
      <c r="E66" s="68">
        <f>30000+17000+180000</f>
        <v>227000</v>
      </c>
      <c r="F66" s="68"/>
      <c r="G66" s="68">
        <f>SUM(E66:F66)</f>
        <v>227000</v>
      </c>
      <c r="H66" s="68"/>
      <c r="I66" s="68">
        <f>SUM(G66:H66)</f>
        <v>227000</v>
      </c>
      <c r="J66" s="68"/>
      <c r="K66" s="68">
        <f>SUM(I66:J66)</f>
        <v>227000</v>
      </c>
      <c r="L66" s="68"/>
      <c r="M66" s="68">
        <f>SUM(K66:L66)</f>
        <v>227000</v>
      </c>
      <c r="N66" s="68"/>
      <c r="O66" s="68">
        <f>SUM(M66:N66)</f>
        <v>227000</v>
      </c>
      <c r="P66" s="68"/>
      <c r="Q66" s="68">
        <f>SUM(O66:P66)</f>
        <v>227000</v>
      </c>
      <c r="R66" s="68"/>
      <c r="S66" s="68">
        <f>SUM(Q66:R66)</f>
        <v>227000</v>
      </c>
      <c r="T66" s="68"/>
      <c r="U66" s="68">
        <f>SUM(S66:T66)</f>
        <v>227000</v>
      </c>
      <c r="V66" s="68"/>
      <c r="W66" s="68">
        <f>SUM(U66:V66)</f>
        <v>227000</v>
      </c>
      <c r="X66" s="68"/>
      <c r="Y66" s="68">
        <f>SUM(W66:X66)</f>
        <v>227000</v>
      </c>
      <c r="Z66" s="68"/>
      <c r="AA66" s="68">
        <f>SUM(Y66:Z66)</f>
        <v>227000</v>
      </c>
      <c r="AB66" s="68"/>
      <c r="AC66" s="68">
        <f>SUM(AA66:AB66)</f>
        <v>227000</v>
      </c>
      <c r="AD66" s="68">
        <f>-170000+20000-17000</f>
        <v>-167000</v>
      </c>
      <c r="AE66" s="68">
        <f>SUM(AC66:AD66)</f>
        <v>60000</v>
      </c>
      <c r="AF66" s="68"/>
      <c r="AG66" s="68">
        <f>SUM(AE66:AF66)</f>
        <v>60000</v>
      </c>
    </row>
    <row r="67" spans="1:33" s="23" customFormat="1" ht="18.75" customHeight="1">
      <c r="A67" s="69"/>
      <c r="B67" s="70"/>
      <c r="C67" s="71" t="s">
        <v>161</v>
      </c>
      <c r="D67" s="37" t="s">
        <v>12</v>
      </c>
      <c r="E67" s="68"/>
      <c r="F67" s="68"/>
      <c r="G67" s="68"/>
      <c r="H67" s="68"/>
      <c r="I67" s="68">
        <v>0</v>
      </c>
      <c r="J67" s="68">
        <v>122117</v>
      </c>
      <c r="K67" s="68">
        <f>SUM(I67:J67)</f>
        <v>122117</v>
      </c>
      <c r="L67" s="68"/>
      <c r="M67" s="68">
        <f>SUM(K67:L67)</f>
        <v>122117</v>
      </c>
      <c r="N67" s="68"/>
      <c r="O67" s="68">
        <f>SUM(M67:N67)</f>
        <v>122117</v>
      </c>
      <c r="P67" s="68"/>
      <c r="Q67" s="68">
        <f>SUM(O67:P67)</f>
        <v>122117</v>
      </c>
      <c r="R67" s="68"/>
      <c r="S67" s="68">
        <f>SUM(Q67:R67)</f>
        <v>122117</v>
      </c>
      <c r="T67" s="68"/>
      <c r="U67" s="68">
        <f>SUM(S67:T67)</f>
        <v>122117</v>
      </c>
      <c r="V67" s="68"/>
      <c r="W67" s="68">
        <f>SUM(U67:V67)</f>
        <v>122117</v>
      </c>
      <c r="X67" s="68"/>
      <c r="Y67" s="68">
        <f>SUM(W67:X67)</f>
        <v>122117</v>
      </c>
      <c r="Z67" s="68"/>
      <c r="AA67" s="68">
        <f>SUM(Y67:Z67)</f>
        <v>122117</v>
      </c>
      <c r="AB67" s="68"/>
      <c r="AC67" s="68">
        <f>SUM(AA67:AB67)</f>
        <v>122117</v>
      </c>
      <c r="AD67" s="68"/>
      <c r="AE67" s="68">
        <f>SUM(AC67:AD67)</f>
        <v>122117</v>
      </c>
      <c r="AF67" s="68"/>
      <c r="AG67" s="68">
        <f>SUM(AE67:AF67)</f>
        <v>122117</v>
      </c>
    </row>
    <row r="68" spans="1:33" s="23" customFormat="1" ht="22.5">
      <c r="A68" s="69"/>
      <c r="B68" s="70" t="s">
        <v>40</v>
      </c>
      <c r="C68" s="77"/>
      <c r="D68" s="74" t="s">
        <v>41</v>
      </c>
      <c r="E68" s="68">
        <f aca="true" t="shared" si="88" ref="E68:K68">SUM(E69:E70)</f>
        <v>10620286</v>
      </c>
      <c r="F68" s="68">
        <f t="shared" si="88"/>
        <v>0</v>
      </c>
      <c r="G68" s="68">
        <f t="shared" si="88"/>
        <v>10620286</v>
      </c>
      <c r="H68" s="68">
        <f t="shared" si="88"/>
        <v>0</v>
      </c>
      <c r="I68" s="68">
        <f t="shared" si="88"/>
        <v>10620286</v>
      </c>
      <c r="J68" s="68">
        <f t="shared" si="88"/>
        <v>0</v>
      </c>
      <c r="K68" s="68">
        <f t="shared" si="88"/>
        <v>10620286</v>
      </c>
      <c r="L68" s="68">
        <f aca="true" t="shared" si="89" ref="L68:Q68">SUM(L69:L70)</f>
        <v>0</v>
      </c>
      <c r="M68" s="68">
        <f t="shared" si="89"/>
        <v>10620286</v>
      </c>
      <c r="N68" s="68">
        <f t="shared" si="89"/>
        <v>0</v>
      </c>
      <c r="O68" s="68">
        <f t="shared" si="89"/>
        <v>10620286</v>
      </c>
      <c r="P68" s="68">
        <f t="shared" si="89"/>
        <v>0</v>
      </c>
      <c r="Q68" s="68">
        <f t="shared" si="89"/>
        <v>10620286</v>
      </c>
      <c r="R68" s="68">
        <f aca="true" t="shared" si="90" ref="R68:W68">SUM(R69:R70)</f>
        <v>0</v>
      </c>
      <c r="S68" s="68">
        <f t="shared" si="90"/>
        <v>10620286</v>
      </c>
      <c r="T68" s="68">
        <f t="shared" si="90"/>
        <v>0</v>
      </c>
      <c r="U68" s="68">
        <f t="shared" si="90"/>
        <v>10620286</v>
      </c>
      <c r="V68" s="68">
        <f t="shared" si="90"/>
        <v>0</v>
      </c>
      <c r="W68" s="68">
        <f t="shared" si="90"/>
        <v>10620286</v>
      </c>
      <c r="X68" s="68">
        <f aca="true" t="shared" si="91" ref="X68:AC68">SUM(X69:X70)</f>
        <v>0</v>
      </c>
      <c r="Y68" s="68">
        <f t="shared" si="91"/>
        <v>10620286</v>
      </c>
      <c r="Z68" s="68">
        <f t="shared" si="91"/>
        <v>0</v>
      </c>
      <c r="AA68" s="68">
        <f t="shared" si="91"/>
        <v>10620286</v>
      </c>
      <c r="AB68" s="68">
        <f t="shared" si="91"/>
        <v>0</v>
      </c>
      <c r="AC68" s="68">
        <f t="shared" si="91"/>
        <v>10620286</v>
      </c>
      <c r="AD68" s="68">
        <f>SUM(AD69:AD70)</f>
        <v>0</v>
      </c>
      <c r="AE68" s="68">
        <f>SUM(AE69:AE70)</f>
        <v>10620286</v>
      </c>
      <c r="AF68" s="68">
        <f>SUM(AF69:AF70)</f>
        <v>0</v>
      </c>
      <c r="AG68" s="68">
        <f>SUM(AG69:AG70)</f>
        <v>10620286</v>
      </c>
    </row>
    <row r="69" spans="1:33" s="23" customFormat="1" ht="21.75" customHeight="1">
      <c r="A69" s="69"/>
      <c r="B69" s="70"/>
      <c r="C69" s="71" t="s">
        <v>173</v>
      </c>
      <c r="D69" s="74" t="s">
        <v>42</v>
      </c>
      <c r="E69" s="68">
        <v>9720286</v>
      </c>
      <c r="F69" s="68"/>
      <c r="G69" s="68">
        <f>SUM(E69:F69)</f>
        <v>9720286</v>
      </c>
      <c r="H69" s="68"/>
      <c r="I69" s="68">
        <f>SUM(G69:H69)</f>
        <v>9720286</v>
      </c>
      <c r="J69" s="68"/>
      <c r="K69" s="68">
        <f>SUM(I69:J69)</f>
        <v>9720286</v>
      </c>
      <c r="L69" s="68"/>
      <c r="M69" s="68">
        <f>SUM(K69:L69)</f>
        <v>9720286</v>
      </c>
      <c r="N69" s="68"/>
      <c r="O69" s="68">
        <f>SUM(M69:N69)</f>
        <v>9720286</v>
      </c>
      <c r="P69" s="68"/>
      <c r="Q69" s="68">
        <f>SUM(O69:P69)</f>
        <v>9720286</v>
      </c>
      <c r="R69" s="68"/>
      <c r="S69" s="68">
        <f>SUM(Q69:R69)</f>
        <v>9720286</v>
      </c>
      <c r="T69" s="68"/>
      <c r="U69" s="68">
        <f>SUM(S69:T69)</f>
        <v>9720286</v>
      </c>
      <c r="V69" s="68"/>
      <c r="W69" s="68">
        <f>SUM(U69:V69)</f>
        <v>9720286</v>
      </c>
      <c r="X69" s="68"/>
      <c r="Y69" s="68">
        <f>SUM(W69:X69)</f>
        <v>9720286</v>
      </c>
      <c r="Z69" s="68"/>
      <c r="AA69" s="68">
        <f>SUM(Y69:Z69)</f>
        <v>9720286</v>
      </c>
      <c r="AB69" s="68"/>
      <c r="AC69" s="68">
        <f>SUM(AA69:AB69)</f>
        <v>9720286</v>
      </c>
      <c r="AD69" s="68"/>
      <c r="AE69" s="68">
        <f>SUM(AC69:AD69)</f>
        <v>9720286</v>
      </c>
      <c r="AF69" s="68"/>
      <c r="AG69" s="68">
        <f>SUM(AE69:AF69)</f>
        <v>9720286</v>
      </c>
    </row>
    <row r="70" spans="1:33" s="23" customFormat="1" ht="21.75" customHeight="1">
      <c r="A70" s="69"/>
      <c r="B70" s="70"/>
      <c r="C70" s="71" t="s">
        <v>174</v>
      </c>
      <c r="D70" s="74" t="s">
        <v>43</v>
      </c>
      <c r="E70" s="68">
        <v>900000</v>
      </c>
      <c r="F70" s="68"/>
      <c r="G70" s="68">
        <f>SUM(E70:F70)</f>
        <v>900000</v>
      </c>
      <c r="H70" s="68"/>
      <c r="I70" s="68">
        <f>SUM(G70:H70)</f>
        <v>900000</v>
      </c>
      <c r="J70" s="68"/>
      <c r="K70" s="68">
        <f>SUM(I70:J70)</f>
        <v>900000</v>
      </c>
      <c r="L70" s="68"/>
      <c r="M70" s="68">
        <f>SUM(K70:L70)</f>
        <v>900000</v>
      </c>
      <c r="N70" s="68"/>
      <c r="O70" s="68">
        <f>SUM(M70:N70)</f>
        <v>900000</v>
      </c>
      <c r="P70" s="68"/>
      <c r="Q70" s="68">
        <f>SUM(O70:P70)</f>
        <v>900000</v>
      </c>
      <c r="R70" s="68"/>
      <c r="S70" s="68">
        <f>SUM(Q70:R70)</f>
        <v>900000</v>
      </c>
      <c r="T70" s="68"/>
      <c r="U70" s="68">
        <f>SUM(S70:T70)</f>
        <v>900000</v>
      </c>
      <c r="V70" s="68"/>
      <c r="W70" s="68">
        <f>SUM(U70:V70)</f>
        <v>900000</v>
      </c>
      <c r="X70" s="68"/>
      <c r="Y70" s="68">
        <f>SUM(W70:X70)</f>
        <v>900000</v>
      </c>
      <c r="Z70" s="68"/>
      <c r="AA70" s="68">
        <f>SUM(Y70:Z70)</f>
        <v>900000</v>
      </c>
      <c r="AB70" s="68"/>
      <c r="AC70" s="68">
        <f>SUM(AA70:AB70)</f>
        <v>900000</v>
      </c>
      <c r="AD70" s="68"/>
      <c r="AE70" s="68">
        <f>SUM(AC70:AD70)</f>
        <v>900000</v>
      </c>
      <c r="AF70" s="68"/>
      <c r="AG70" s="68">
        <f>SUM(AE70:AF70)</f>
        <v>900000</v>
      </c>
    </row>
    <row r="71" spans="1:33" s="5" customFormat="1" ht="20.25" customHeight="1">
      <c r="A71" s="28" t="s">
        <v>44</v>
      </c>
      <c r="B71" s="1"/>
      <c r="C71" s="2"/>
      <c r="D71" s="29" t="s">
        <v>45</v>
      </c>
      <c r="E71" s="55">
        <f aca="true" t="shared" si="92" ref="E71:K71">SUM(E72,E74,E76,E78)</f>
        <v>20284538</v>
      </c>
      <c r="F71" s="55">
        <f t="shared" si="92"/>
        <v>0</v>
      </c>
      <c r="G71" s="55">
        <f t="shared" si="92"/>
        <v>20284538</v>
      </c>
      <c r="H71" s="55">
        <f t="shared" si="92"/>
        <v>0</v>
      </c>
      <c r="I71" s="55">
        <f t="shared" si="92"/>
        <v>20284538</v>
      </c>
      <c r="J71" s="55">
        <f t="shared" si="92"/>
        <v>-614458</v>
      </c>
      <c r="K71" s="55">
        <f t="shared" si="92"/>
        <v>19670080</v>
      </c>
      <c r="L71" s="55">
        <f aca="true" t="shared" si="93" ref="L71:Q71">SUM(L72,L74,L76,L78)</f>
        <v>-20684</v>
      </c>
      <c r="M71" s="55">
        <f t="shared" si="93"/>
        <v>19649396</v>
      </c>
      <c r="N71" s="55">
        <f t="shared" si="93"/>
        <v>0</v>
      </c>
      <c r="O71" s="55">
        <f t="shared" si="93"/>
        <v>19649396</v>
      </c>
      <c r="P71" s="55">
        <f t="shared" si="93"/>
        <v>0</v>
      </c>
      <c r="Q71" s="55">
        <f t="shared" si="93"/>
        <v>19649396</v>
      </c>
      <c r="R71" s="55">
        <f aca="true" t="shared" si="94" ref="R71:W71">SUM(R72,R74,R76,R78)</f>
        <v>0</v>
      </c>
      <c r="S71" s="55">
        <f t="shared" si="94"/>
        <v>19649396</v>
      </c>
      <c r="T71" s="55">
        <f t="shared" si="94"/>
        <v>0</v>
      </c>
      <c r="U71" s="55">
        <f t="shared" si="94"/>
        <v>19649396</v>
      </c>
      <c r="V71" s="55">
        <f t="shared" si="94"/>
        <v>0</v>
      </c>
      <c r="W71" s="55">
        <f t="shared" si="94"/>
        <v>19649396</v>
      </c>
      <c r="X71" s="55">
        <f aca="true" t="shared" si="95" ref="X71:AC71">SUM(X72,X74,X76,X78)</f>
        <v>0</v>
      </c>
      <c r="Y71" s="55">
        <f t="shared" si="95"/>
        <v>19649396</v>
      </c>
      <c r="Z71" s="55">
        <f t="shared" si="95"/>
        <v>0</v>
      </c>
      <c r="AA71" s="55">
        <f t="shared" si="95"/>
        <v>19649396</v>
      </c>
      <c r="AB71" s="55">
        <f t="shared" si="95"/>
        <v>26800</v>
      </c>
      <c r="AC71" s="55">
        <f t="shared" si="95"/>
        <v>19676196</v>
      </c>
      <c r="AD71" s="55">
        <f>SUM(AD72,AD74,AD76,AD78)</f>
        <v>0</v>
      </c>
      <c r="AE71" s="55">
        <f>SUM(AE72,AE74,AE76,AE78)</f>
        <v>19676196</v>
      </c>
      <c r="AF71" s="55">
        <f>SUM(AF72,AF74,AF76,AF78)</f>
        <v>0</v>
      </c>
      <c r="AG71" s="55">
        <f>SUM(AG72,AG74,AG76,AG78)</f>
        <v>19676196</v>
      </c>
    </row>
    <row r="72" spans="1:33" s="23" customFormat="1" ht="22.5">
      <c r="A72" s="69"/>
      <c r="B72" s="70" t="s">
        <v>46</v>
      </c>
      <c r="C72" s="77"/>
      <c r="D72" s="74" t="s">
        <v>47</v>
      </c>
      <c r="E72" s="68">
        <f aca="true" t="shared" si="96" ref="E72:AG72">SUM(E73)</f>
        <v>14653848</v>
      </c>
      <c r="F72" s="68">
        <f t="shared" si="96"/>
        <v>0</v>
      </c>
      <c r="G72" s="68">
        <f t="shared" si="96"/>
        <v>14653848</v>
      </c>
      <c r="H72" s="68">
        <f t="shared" si="96"/>
        <v>0</v>
      </c>
      <c r="I72" s="68">
        <f t="shared" si="96"/>
        <v>14653848</v>
      </c>
      <c r="J72" s="68">
        <f t="shared" si="96"/>
        <v>-614458</v>
      </c>
      <c r="K72" s="68">
        <f t="shared" si="96"/>
        <v>14039390</v>
      </c>
      <c r="L72" s="68">
        <f t="shared" si="96"/>
        <v>0</v>
      </c>
      <c r="M72" s="68">
        <f t="shared" si="96"/>
        <v>14039390</v>
      </c>
      <c r="N72" s="68">
        <f t="shared" si="96"/>
        <v>0</v>
      </c>
      <c r="O72" s="68">
        <f t="shared" si="96"/>
        <v>14039390</v>
      </c>
      <c r="P72" s="68">
        <f t="shared" si="96"/>
        <v>0</v>
      </c>
      <c r="Q72" s="68">
        <f t="shared" si="96"/>
        <v>14039390</v>
      </c>
      <c r="R72" s="68">
        <f t="shared" si="96"/>
        <v>0</v>
      </c>
      <c r="S72" s="68">
        <f t="shared" si="96"/>
        <v>14039390</v>
      </c>
      <c r="T72" s="68">
        <f t="shared" si="96"/>
        <v>0</v>
      </c>
      <c r="U72" s="68">
        <f t="shared" si="96"/>
        <v>14039390</v>
      </c>
      <c r="V72" s="68">
        <f t="shared" si="96"/>
        <v>0</v>
      </c>
      <c r="W72" s="68">
        <f t="shared" si="96"/>
        <v>14039390</v>
      </c>
      <c r="X72" s="68">
        <f t="shared" si="96"/>
        <v>0</v>
      </c>
      <c r="Y72" s="68">
        <f t="shared" si="96"/>
        <v>14039390</v>
      </c>
      <c r="Z72" s="68">
        <f t="shared" si="96"/>
        <v>0</v>
      </c>
      <c r="AA72" s="68">
        <f t="shared" si="96"/>
        <v>14039390</v>
      </c>
      <c r="AB72" s="68">
        <f t="shared" si="96"/>
        <v>26800</v>
      </c>
      <c r="AC72" s="68">
        <f t="shared" si="96"/>
        <v>14066190</v>
      </c>
      <c r="AD72" s="68">
        <f t="shared" si="96"/>
        <v>0</v>
      </c>
      <c r="AE72" s="68">
        <f t="shared" si="96"/>
        <v>14066190</v>
      </c>
      <c r="AF72" s="68">
        <f t="shared" si="96"/>
        <v>0</v>
      </c>
      <c r="AG72" s="68">
        <f t="shared" si="96"/>
        <v>14066190</v>
      </c>
    </row>
    <row r="73" spans="1:33" s="23" customFormat="1" ht="21.75" customHeight="1">
      <c r="A73" s="69"/>
      <c r="B73" s="70"/>
      <c r="C73" s="71">
        <v>2920</v>
      </c>
      <c r="D73" s="74" t="s">
        <v>48</v>
      </c>
      <c r="E73" s="68">
        <v>14653848</v>
      </c>
      <c r="F73" s="68"/>
      <c r="G73" s="68">
        <f>SUM(E73:F73)</f>
        <v>14653848</v>
      </c>
      <c r="H73" s="68"/>
      <c r="I73" s="68">
        <f>SUM(G73:H73)</f>
        <v>14653848</v>
      </c>
      <c r="J73" s="68">
        <v>-614458</v>
      </c>
      <c r="K73" s="68">
        <f>SUM(I73:J73)</f>
        <v>14039390</v>
      </c>
      <c r="L73" s="68"/>
      <c r="M73" s="68">
        <f>SUM(K73:L73)</f>
        <v>14039390</v>
      </c>
      <c r="N73" s="68"/>
      <c r="O73" s="68">
        <f>SUM(M73:N73)</f>
        <v>14039390</v>
      </c>
      <c r="P73" s="68"/>
      <c r="Q73" s="68">
        <f>SUM(O73:P73)</f>
        <v>14039390</v>
      </c>
      <c r="R73" s="68"/>
      <c r="S73" s="68">
        <f>SUM(Q73:R73)</f>
        <v>14039390</v>
      </c>
      <c r="T73" s="68"/>
      <c r="U73" s="68">
        <f>SUM(S73:T73)</f>
        <v>14039390</v>
      </c>
      <c r="V73" s="68"/>
      <c r="W73" s="68">
        <f>SUM(U73:V73)</f>
        <v>14039390</v>
      </c>
      <c r="X73" s="68"/>
      <c r="Y73" s="68">
        <f>SUM(W73:X73)</f>
        <v>14039390</v>
      </c>
      <c r="Z73" s="68"/>
      <c r="AA73" s="68">
        <f>SUM(Y73:Z73)</f>
        <v>14039390</v>
      </c>
      <c r="AB73" s="68">
        <v>26800</v>
      </c>
      <c r="AC73" s="68">
        <f>SUM(AA73:AB73)</f>
        <v>14066190</v>
      </c>
      <c r="AD73" s="68"/>
      <c r="AE73" s="68">
        <f>SUM(AC73:AD73)</f>
        <v>14066190</v>
      </c>
      <c r="AF73" s="68"/>
      <c r="AG73" s="68">
        <f>SUM(AE73:AF73)</f>
        <v>14066190</v>
      </c>
    </row>
    <row r="74" spans="1:33" s="23" customFormat="1" ht="21.75" customHeight="1">
      <c r="A74" s="69"/>
      <c r="B74" s="70" t="s">
        <v>183</v>
      </c>
      <c r="C74" s="77"/>
      <c r="D74" s="74" t="s">
        <v>182</v>
      </c>
      <c r="E74" s="68">
        <f aca="true" t="shared" si="97" ref="E74:AG74">SUM(E75)</f>
        <v>5007478</v>
      </c>
      <c r="F74" s="68">
        <f t="shared" si="97"/>
        <v>0</v>
      </c>
      <c r="G74" s="68">
        <f t="shared" si="97"/>
        <v>5007478</v>
      </c>
      <c r="H74" s="68">
        <f t="shared" si="97"/>
        <v>0</v>
      </c>
      <c r="I74" s="68">
        <f t="shared" si="97"/>
        <v>5007478</v>
      </c>
      <c r="J74" s="68">
        <f t="shared" si="97"/>
        <v>0</v>
      </c>
      <c r="K74" s="68">
        <f t="shared" si="97"/>
        <v>5007478</v>
      </c>
      <c r="L74" s="68">
        <f t="shared" si="97"/>
        <v>-20684</v>
      </c>
      <c r="M74" s="68">
        <f t="shared" si="97"/>
        <v>4986794</v>
      </c>
      <c r="N74" s="68">
        <f t="shared" si="97"/>
        <v>0</v>
      </c>
      <c r="O74" s="68">
        <f t="shared" si="97"/>
        <v>4986794</v>
      </c>
      <c r="P74" s="68">
        <f t="shared" si="97"/>
        <v>0</v>
      </c>
      <c r="Q74" s="68">
        <f t="shared" si="97"/>
        <v>4986794</v>
      </c>
      <c r="R74" s="68">
        <f t="shared" si="97"/>
        <v>0</v>
      </c>
      <c r="S74" s="68">
        <f t="shared" si="97"/>
        <v>4986794</v>
      </c>
      <c r="T74" s="68">
        <f t="shared" si="97"/>
        <v>0</v>
      </c>
      <c r="U74" s="68">
        <f t="shared" si="97"/>
        <v>4986794</v>
      </c>
      <c r="V74" s="68">
        <f t="shared" si="97"/>
        <v>0</v>
      </c>
      <c r="W74" s="68">
        <f t="shared" si="97"/>
        <v>4986794</v>
      </c>
      <c r="X74" s="68">
        <f t="shared" si="97"/>
        <v>0</v>
      </c>
      <c r="Y74" s="68">
        <f t="shared" si="97"/>
        <v>4986794</v>
      </c>
      <c r="Z74" s="68">
        <f t="shared" si="97"/>
        <v>0</v>
      </c>
      <c r="AA74" s="68">
        <f t="shared" si="97"/>
        <v>4986794</v>
      </c>
      <c r="AB74" s="68">
        <f t="shared" si="97"/>
        <v>0</v>
      </c>
      <c r="AC74" s="68">
        <f t="shared" si="97"/>
        <v>4986794</v>
      </c>
      <c r="AD74" s="68">
        <f t="shared" si="97"/>
        <v>0</v>
      </c>
      <c r="AE74" s="68">
        <f t="shared" si="97"/>
        <v>4986794</v>
      </c>
      <c r="AF74" s="68">
        <f t="shared" si="97"/>
        <v>0</v>
      </c>
      <c r="AG74" s="68">
        <f t="shared" si="97"/>
        <v>4986794</v>
      </c>
    </row>
    <row r="75" spans="1:33" s="23" customFormat="1" ht="21.75" customHeight="1">
      <c r="A75" s="69"/>
      <c r="B75" s="70"/>
      <c r="C75" s="71">
        <v>2920</v>
      </c>
      <c r="D75" s="74" t="s">
        <v>48</v>
      </c>
      <c r="E75" s="68">
        <f>2651991+2355487</f>
        <v>5007478</v>
      </c>
      <c r="F75" s="68"/>
      <c r="G75" s="68">
        <f>SUM(E75:F75)</f>
        <v>5007478</v>
      </c>
      <c r="H75" s="68"/>
      <c r="I75" s="68">
        <f>SUM(G75:H75)</f>
        <v>5007478</v>
      </c>
      <c r="J75" s="68"/>
      <c r="K75" s="68">
        <f>SUM(I75:J75)</f>
        <v>5007478</v>
      </c>
      <c r="L75" s="68">
        <v>-20684</v>
      </c>
      <c r="M75" s="68">
        <f>SUM(K75:L75)</f>
        <v>4986794</v>
      </c>
      <c r="N75" s="68"/>
      <c r="O75" s="68">
        <f>SUM(M75:N75)</f>
        <v>4986794</v>
      </c>
      <c r="P75" s="68"/>
      <c r="Q75" s="68">
        <f>SUM(O75:P75)</f>
        <v>4986794</v>
      </c>
      <c r="R75" s="68"/>
      <c r="S75" s="68">
        <f>SUM(Q75:R75)</f>
        <v>4986794</v>
      </c>
      <c r="T75" s="68"/>
      <c r="U75" s="68">
        <f>SUM(S75:T75)</f>
        <v>4986794</v>
      </c>
      <c r="V75" s="68"/>
      <c r="W75" s="68">
        <f>SUM(U75:V75)</f>
        <v>4986794</v>
      </c>
      <c r="X75" s="68"/>
      <c r="Y75" s="68">
        <f>SUM(W75:X75)</f>
        <v>4986794</v>
      </c>
      <c r="Z75" s="68"/>
      <c r="AA75" s="68">
        <f>SUM(Y75:Z75)</f>
        <v>4986794</v>
      </c>
      <c r="AB75" s="68"/>
      <c r="AC75" s="68">
        <f>SUM(AA75:AB75)</f>
        <v>4986794</v>
      </c>
      <c r="AD75" s="68"/>
      <c r="AE75" s="68">
        <f>SUM(AC75:AD75)</f>
        <v>4986794</v>
      </c>
      <c r="AF75" s="68"/>
      <c r="AG75" s="68">
        <f>SUM(AE75:AF75)</f>
        <v>4986794</v>
      </c>
    </row>
    <row r="76" spans="1:33" s="23" customFormat="1" ht="21" customHeight="1">
      <c r="A76" s="69"/>
      <c r="B76" s="70">
        <v>75814</v>
      </c>
      <c r="C76" s="77"/>
      <c r="D76" s="74" t="s">
        <v>49</v>
      </c>
      <c r="E76" s="68">
        <f aca="true" t="shared" si="98" ref="E76:AG76">SUM(E77)</f>
        <v>10000</v>
      </c>
      <c r="F76" s="68">
        <f t="shared" si="98"/>
        <v>0</v>
      </c>
      <c r="G76" s="68">
        <f t="shared" si="98"/>
        <v>10000</v>
      </c>
      <c r="H76" s="68">
        <f t="shared" si="98"/>
        <v>0</v>
      </c>
      <c r="I76" s="68">
        <f t="shared" si="98"/>
        <v>10000</v>
      </c>
      <c r="J76" s="68">
        <f t="shared" si="98"/>
        <v>0</v>
      </c>
      <c r="K76" s="68">
        <f t="shared" si="98"/>
        <v>10000</v>
      </c>
      <c r="L76" s="68">
        <f t="shared" si="98"/>
        <v>0</v>
      </c>
      <c r="M76" s="68">
        <f t="shared" si="98"/>
        <v>10000</v>
      </c>
      <c r="N76" s="68">
        <f t="shared" si="98"/>
        <v>0</v>
      </c>
      <c r="O76" s="68">
        <f t="shared" si="98"/>
        <v>10000</v>
      </c>
      <c r="P76" s="68">
        <f t="shared" si="98"/>
        <v>0</v>
      </c>
      <c r="Q76" s="68">
        <f t="shared" si="98"/>
        <v>10000</v>
      </c>
      <c r="R76" s="68">
        <f t="shared" si="98"/>
        <v>0</v>
      </c>
      <c r="S76" s="68">
        <f t="shared" si="98"/>
        <v>10000</v>
      </c>
      <c r="T76" s="68">
        <f t="shared" si="98"/>
        <v>0</v>
      </c>
      <c r="U76" s="68">
        <f t="shared" si="98"/>
        <v>10000</v>
      </c>
      <c r="V76" s="68">
        <f t="shared" si="98"/>
        <v>0</v>
      </c>
      <c r="W76" s="68">
        <f t="shared" si="98"/>
        <v>10000</v>
      </c>
      <c r="X76" s="68">
        <f t="shared" si="98"/>
        <v>0</v>
      </c>
      <c r="Y76" s="68">
        <f t="shared" si="98"/>
        <v>10000</v>
      </c>
      <c r="Z76" s="68">
        <f t="shared" si="98"/>
        <v>0</v>
      </c>
      <c r="AA76" s="68">
        <f t="shared" si="98"/>
        <v>10000</v>
      </c>
      <c r="AB76" s="68">
        <f t="shared" si="98"/>
        <v>0</v>
      </c>
      <c r="AC76" s="68">
        <f t="shared" si="98"/>
        <v>10000</v>
      </c>
      <c r="AD76" s="68">
        <f t="shared" si="98"/>
        <v>0</v>
      </c>
      <c r="AE76" s="68">
        <f t="shared" si="98"/>
        <v>10000</v>
      </c>
      <c r="AF76" s="68">
        <f t="shared" si="98"/>
        <v>0</v>
      </c>
      <c r="AG76" s="68">
        <f t="shared" si="98"/>
        <v>10000</v>
      </c>
    </row>
    <row r="77" spans="1:33" s="23" customFormat="1" ht="21.75" customHeight="1">
      <c r="A77" s="69"/>
      <c r="B77" s="70"/>
      <c r="C77" s="71" t="s">
        <v>160</v>
      </c>
      <c r="D77" s="74" t="s">
        <v>11</v>
      </c>
      <c r="E77" s="68">
        <v>10000</v>
      </c>
      <c r="F77" s="68"/>
      <c r="G77" s="68">
        <f>SUM(E77:F77)</f>
        <v>10000</v>
      </c>
      <c r="H77" s="68"/>
      <c r="I77" s="68">
        <f>SUM(G77:H77)</f>
        <v>10000</v>
      </c>
      <c r="J77" s="68"/>
      <c r="K77" s="68">
        <f>SUM(I77:J77)</f>
        <v>10000</v>
      </c>
      <c r="L77" s="68"/>
      <c r="M77" s="68">
        <f>SUM(K77:L77)</f>
        <v>10000</v>
      </c>
      <c r="N77" s="68"/>
      <c r="O77" s="68">
        <f>SUM(M77:N77)</f>
        <v>10000</v>
      </c>
      <c r="P77" s="68"/>
      <c r="Q77" s="68">
        <f>SUM(O77:P77)</f>
        <v>10000</v>
      </c>
      <c r="R77" s="68"/>
      <c r="S77" s="68">
        <f>SUM(Q77:R77)</f>
        <v>10000</v>
      </c>
      <c r="T77" s="68"/>
      <c r="U77" s="68">
        <f>SUM(S77:T77)</f>
        <v>10000</v>
      </c>
      <c r="V77" s="68"/>
      <c r="W77" s="68">
        <f>SUM(U77:V77)</f>
        <v>10000</v>
      </c>
      <c r="X77" s="68"/>
      <c r="Y77" s="68">
        <f>SUM(W77:X77)</f>
        <v>10000</v>
      </c>
      <c r="Z77" s="68"/>
      <c r="AA77" s="68">
        <f>SUM(Y77:Z77)</f>
        <v>10000</v>
      </c>
      <c r="AB77" s="68"/>
      <c r="AC77" s="68">
        <f>SUM(AA77:AB77)</f>
        <v>10000</v>
      </c>
      <c r="AD77" s="68"/>
      <c r="AE77" s="68">
        <f>SUM(AC77:AD77)</f>
        <v>10000</v>
      </c>
      <c r="AF77" s="68"/>
      <c r="AG77" s="68">
        <f>SUM(AE77:AF77)</f>
        <v>10000</v>
      </c>
    </row>
    <row r="78" spans="1:33" s="23" customFormat="1" ht="24.75" customHeight="1">
      <c r="A78" s="69"/>
      <c r="B78" s="70" t="s">
        <v>213</v>
      </c>
      <c r="C78" s="77"/>
      <c r="D78" s="74" t="s">
        <v>214</v>
      </c>
      <c r="E78" s="68">
        <f aca="true" t="shared" si="99" ref="E78:AG78">SUM(E79)</f>
        <v>613212</v>
      </c>
      <c r="F78" s="68">
        <f t="shared" si="99"/>
        <v>0</v>
      </c>
      <c r="G78" s="68">
        <f t="shared" si="99"/>
        <v>613212</v>
      </c>
      <c r="H78" s="68">
        <f t="shared" si="99"/>
        <v>0</v>
      </c>
      <c r="I78" s="68">
        <f t="shared" si="99"/>
        <v>613212</v>
      </c>
      <c r="J78" s="68">
        <f t="shared" si="99"/>
        <v>0</v>
      </c>
      <c r="K78" s="68">
        <f t="shared" si="99"/>
        <v>613212</v>
      </c>
      <c r="L78" s="68">
        <f t="shared" si="99"/>
        <v>0</v>
      </c>
      <c r="M78" s="68">
        <f t="shared" si="99"/>
        <v>613212</v>
      </c>
      <c r="N78" s="68">
        <f t="shared" si="99"/>
        <v>0</v>
      </c>
      <c r="O78" s="68">
        <f t="shared" si="99"/>
        <v>613212</v>
      </c>
      <c r="P78" s="68">
        <f t="shared" si="99"/>
        <v>0</v>
      </c>
      <c r="Q78" s="68">
        <f t="shared" si="99"/>
        <v>613212</v>
      </c>
      <c r="R78" s="68">
        <f t="shared" si="99"/>
        <v>0</v>
      </c>
      <c r="S78" s="68">
        <f t="shared" si="99"/>
        <v>613212</v>
      </c>
      <c r="T78" s="68">
        <f t="shared" si="99"/>
        <v>0</v>
      </c>
      <c r="U78" s="68">
        <f t="shared" si="99"/>
        <v>613212</v>
      </c>
      <c r="V78" s="68">
        <f t="shared" si="99"/>
        <v>0</v>
      </c>
      <c r="W78" s="68">
        <f t="shared" si="99"/>
        <v>613212</v>
      </c>
      <c r="X78" s="68">
        <f t="shared" si="99"/>
        <v>0</v>
      </c>
      <c r="Y78" s="68">
        <f t="shared" si="99"/>
        <v>613212</v>
      </c>
      <c r="Z78" s="68">
        <f t="shared" si="99"/>
        <v>0</v>
      </c>
      <c r="AA78" s="68">
        <f t="shared" si="99"/>
        <v>613212</v>
      </c>
      <c r="AB78" s="68">
        <f t="shared" si="99"/>
        <v>0</v>
      </c>
      <c r="AC78" s="68">
        <f t="shared" si="99"/>
        <v>613212</v>
      </c>
      <c r="AD78" s="68">
        <f t="shared" si="99"/>
        <v>0</v>
      </c>
      <c r="AE78" s="68">
        <f t="shared" si="99"/>
        <v>613212</v>
      </c>
      <c r="AF78" s="68">
        <f t="shared" si="99"/>
        <v>0</v>
      </c>
      <c r="AG78" s="68">
        <f t="shared" si="99"/>
        <v>613212</v>
      </c>
    </row>
    <row r="79" spans="1:33" s="23" customFormat="1" ht="21.75" customHeight="1">
      <c r="A79" s="69"/>
      <c r="B79" s="70"/>
      <c r="C79" s="71">
        <v>2920</v>
      </c>
      <c r="D79" s="74" t="s">
        <v>48</v>
      </c>
      <c r="E79" s="68">
        <v>613212</v>
      </c>
      <c r="F79" s="68"/>
      <c r="G79" s="68">
        <f>SUM(E79:F79)</f>
        <v>613212</v>
      </c>
      <c r="H79" s="68"/>
      <c r="I79" s="68">
        <f>SUM(G79:H79)</f>
        <v>613212</v>
      </c>
      <c r="J79" s="68"/>
      <c r="K79" s="68">
        <f>SUM(I79:J79)</f>
        <v>613212</v>
      </c>
      <c r="L79" s="68"/>
      <c r="M79" s="68">
        <f>SUM(K79:L79)</f>
        <v>613212</v>
      </c>
      <c r="N79" s="68"/>
      <c r="O79" s="68">
        <f>SUM(M79:N79)</f>
        <v>613212</v>
      </c>
      <c r="P79" s="68"/>
      <c r="Q79" s="68">
        <f>SUM(O79:P79)</f>
        <v>613212</v>
      </c>
      <c r="R79" s="68"/>
      <c r="S79" s="68">
        <f>SUM(Q79:R79)</f>
        <v>613212</v>
      </c>
      <c r="T79" s="68"/>
      <c r="U79" s="68">
        <f>SUM(S79:T79)</f>
        <v>613212</v>
      </c>
      <c r="V79" s="68"/>
      <c r="W79" s="68">
        <f>SUM(U79:V79)</f>
        <v>613212</v>
      </c>
      <c r="X79" s="68"/>
      <c r="Y79" s="68">
        <f>SUM(W79:X79)</f>
        <v>613212</v>
      </c>
      <c r="Z79" s="68"/>
      <c r="AA79" s="68">
        <f>SUM(Y79:Z79)</f>
        <v>613212</v>
      </c>
      <c r="AB79" s="68"/>
      <c r="AC79" s="68">
        <f>SUM(AA79:AB79)</f>
        <v>613212</v>
      </c>
      <c r="AD79" s="68"/>
      <c r="AE79" s="68">
        <f>SUM(AC79:AD79)</f>
        <v>613212</v>
      </c>
      <c r="AF79" s="68"/>
      <c r="AG79" s="68">
        <f>SUM(AE79:AF79)</f>
        <v>613212</v>
      </c>
    </row>
    <row r="80" spans="1:33" s="23" customFormat="1" ht="20.25" customHeight="1">
      <c r="A80" s="32" t="s">
        <v>108</v>
      </c>
      <c r="B80" s="33"/>
      <c r="C80" s="34"/>
      <c r="D80" s="35" t="s">
        <v>109</v>
      </c>
      <c r="E80" s="55">
        <f aca="true" t="shared" si="100" ref="E80:K80">SUM(E81,E90,E92,E98)</f>
        <v>189496</v>
      </c>
      <c r="F80" s="55">
        <f t="shared" si="100"/>
        <v>0</v>
      </c>
      <c r="G80" s="55">
        <f t="shared" si="100"/>
        <v>189496</v>
      </c>
      <c r="H80" s="55">
        <f t="shared" si="100"/>
        <v>0</v>
      </c>
      <c r="I80" s="55">
        <f t="shared" si="100"/>
        <v>189496</v>
      </c>
      <c r="J80" s="55">
        <f t="shared" si="100"/>
        <v>28869</v>
      </c>
      <c r="K80" s="55">
        <f t="shared" si="100"/>
        <v>218365</v>
      </c>
      <c r="L80" s="55">
        <f aca="true" t="shared" si="101" ref="L80:Q80">SUM(L81,L90,L92,L98)</f>
        <v>0</v>
      </c>
      <c r="M80" s="55">
        <f t="shared" si="101"/>
        <v>218365</v>
      </c>
      <c r="N80" s="55">
        <f t="shared" si="101"/>
        <v>75816</v>
      </c>
      <c r="O80" s="55">
        <f t="shared" si="101"/>
        <v>294181</v>
      </c>
      <c r="P80" s="55">
        <f t="shared" si="101"/>
        <v>42231</v>
      </c>
      <c r="Q80" s="55">
        <f t="shared" si="101"/>
        <v>336412</v>
      </c>
      <c r="R80" s="55">
        <f aca="true" t="shared" si="102" ref="R80:W80">SUM(R81,R90,R92,R98)</f>
        <v>0</v>
      </c>
      <c r="S80" s="55">
        <f t="shared" si="102"/>
        <v>336412</v>
      </c>
      <c r="T80" s="55">
        <f t="shared" si="102"/>
        <v>0</v>
      </c>
      <c r="U80" s="55">
        <f t="shared" si="102"/>
        <v>336412</v>
      </c>
      <c r="V80" s="55">
        <f t="shared" si="102"/>
        <v>0</v>
      </c>
      <c r="W80" s="55">
        <f t="shared" si="102"/>
        <v>336412</v>
      </c>
      <c r="X80" s="55">
        <f>SUM(X81,X90,X92,X98)</f>
        <v>0</v>
      </c>
      <c r="Y80" s="55">
        <f>SUM(Y81,Y90,Y92,Y98)</f>
        <v>336412</v>
      </c>
      <c r="Z80" s="55">
        <f>SUM(Z81,Z90,Z92,Z98)</f>
        <v>91180</v>
      </c>
      <c r="AA80" s="55">
        <f>SUM(AA81,AA90,AA92,AA98)</f>
        <v>427592</v>
      </c>
      <c r="AB80" s="55">
        <f>SUM(AB81,AB90,AB92,AB98)</f>
        <v>0</v>
      </c>
      <c r="AC80" s="55">
        <f>SUM(AC81,AC90,AC92,AC98,AC101)</f>
        <v>427592</v>
      </c>
      <c r="AD80" s="55">
        <f>SUM(AD81,AD90,AD92,AD98,AD101)</f>
        <v>15501</v>
      </c>
      <c r="AE80" s="55">
        <f>SUM(AE81,AE90,AE92,AE98,AE101)</f>
        <v>443093</v>
      </c>
      <c r="AF80" s="55">
        <f>SUM(AF81,AF90,AF92,AF98,AF101)</f>
        <v>0</v>
      </c>
      <c r="AG80" s="55">
        <f>SUM(AG81,AG90,AG92,AG98,AG101)</f>
        <v>443093</v>
      </c>
    </row>
    <row r="81" spans="1:33" s="23" customFormat="1" ht="20.25" customHeight="1">
      <c r="A81" s="64"/>
      <c r="B81" s="79" t="s">
        <v>110</v>
      </c>
      <c r="C81" s="83"/>
      <c r="D81" s="37" t="s">
        <v>50</v>
      </c>
      <c r="E81" s="68">
        <f aca="true" t="shared" si="103" ref="E81:K81">SUM(E82:E88)</f>
        <v>54673</v>
      </c>
      <c r="F81" s="68">
        <f t="shared" si="103"/>
        <v>0</v>
      </c>
      <c r="G81" s="68">
        <f t="shared" si="103"/>
        <v>54673</v>
      </c>
      <c r="H81" s="68">
        <f t="shared" si="103"/>
        <v>0</v>
      </c>
      <c r="I81" s="68">
        <f t="shared" si="103"/>
        <v>54673</v>
      </c>
      <c r="J81" s="68">
        <f t="shared" si="103"/>
        <v>27690</v>
      </c>
      <c r="K81" s="68">
        <f t="shared" si="103"/>
        <v>82363</v>
      </c>
      <c r="L81" s="68">
        <f>SUM(L82:L88)</f>
        <v>0</v>
      </c>
      <c r="M81" s="68">
        <f aca="true" t="shared" si="104" ref="M81:S81">SUM(M82:M89)</f>
        <v>82363</v>
      </c>
      <c r="N81" s="68">
        <f t="shared" si="104"/>
        <v>75816</v>
      </c>
      <c r="O81" s="68">
        <f t="shared" si="104"/>
        <v>158179</v>
      </c>
      <c r="P81" s="68">
        <f t="shared" si="104"/>
        <v>42231</v>
      </c>
      <c r="Q81" s="68">
        <f t="shared" si="104"/>
        <v>200410</v>
      </c>
      <c r="R81" s="68">
        <f t="shared" si="104"/>
        <v>0</v>
      </c>
      <c r="S81" s="68">
        <f t="shared" si="104"/>
        <v>200410</v>
      </c>
      <c r="T81" s="68">
        <f aca="true" t="shared" si="105" ref="T81:Y81">SUM(T82:T89)</f>
        <v>0</v>
      </c>
      <c r="U81" s="68">
        <f t="shared" si="105"/>
        <v>200410</v>
      </c>
      <c r="V81" s="68">
        <f t="shared" si="105"/>
        <v>0</v>
      </c>
      <c r="W81" s="68">
        <f t="shared" si="105"/>
        <v>200410</v>
      </c>
      <c r="X81" s="68">
        <f t="shared" si="105"/>
        <v>0</v>
      </c>
      <c r="Y81" s="68">
        <f t="shared" si="105"/>
        <v>200410</v>
      </c>
      <c r="Z81" s="68">
        <f aca="true" t="shared" si="106" ref="Z81:AE81">SUM(Z82:Z89)</f>
        <v>44880</v>
      </c>
      <c r="AA81" s="68">
        <f t="shared" si="106"/>
        <v>245290</v>
      </c>
      <c r="AB81" s="68">
        <f t="shared" si="106"/>
        <v>0</v>
      </c>
      <c r="AC81" s="68">
        <f t="shared" si="106"/>
        <v>245290</v>
      </c>
      <c r="AD81" s="68">
        <f t="shared" si="106"/>
        <v>14514</v>
      </c>
      <c r="AE81" s="68">
        <f t="shared" si="106"/>
        <v>259804</v>
      </c>
      <c r="AF81" s="68">
        <f>SUM(AF82:AF89)</f>
        <v>0</v>
      </c>
      <c r="AG81" s="68">
        <f>SUM(AG82:AG89)</f>
        <v>259804</v>
      </c>
    </row>
    <row r="82" spans="1:33" s="23" customFormat="1" ht="20.25" customHeight="1">
      <c r="A82" s="79"/>
      <c r="B82" s="79"/>
      <c r="C82" s="80" t="s">
        <v>181</v>
      </c>
      <c r="D82" s="37" t="s">
        <v>143</v>
      </c>
      <c r="E82" s="68">
        <v>700</v>
      </c>
      <c r="F82" s="68"/>
      <c r="G82" s="68">
        <f>SUM(E82:F82)</f>
        <v>700</v>
      </c>
      <c r="H82" s="68"/>
      <c r="I82" s="68">
        <f>SUM(G82:H82)</f>
        <v>700</v>
      </c>
      <c r="J82" s="68"/>
      <c r="K82" s="68">
        <f>SUM(I82:J82)</f>
        <v>700</v>
      </c>
      <c r="L82" s="68"/>
      <c r="M82" s="68">
        <f>SUM(K82:L82)</f>
        <v>700</v>
      </c>
      <c r="N82" s="68"/>
      <c r="O82" s="68">
        <f aca="true" t="shared" si="107" ref="O82:O89">SUM(M82:N82)</f>
        <v>700</v>
      </c>
      <c r="P82" s="68"/>
      <c r="Q82" s="68">
        <f aca="true" t="shared" si="108" ref="Q82:Q89">SUM(O82:P82)</f>
        <v>700</v>
      </c>
      <c r="R82" s="68"/>
      <c r="S82" s="68">
        <f aca="true" t="shared" si="109" ref="S82:S89">SUM(Q82:R82)</f>
        <v>700</v>
      </c>
      <c r="T82" s="68"/>
      <c r="U82" s="68">
        <f aca="true" t="shared" si="110" ref="U82:U89">SUM(S82:T82)</f>
        <v>700</v>
      </c>
      <c r="V82" s="68"/>
      <c r="W82" s="68">
        <f aca="true" t="shared" si="111" ref="W82:W89">SUM(U82:V82)</f>
        <v>700</v>
      </c>
      <c r="X82" s="68"/>
      <c r="Y82" s="68">
        <f aca="true" t="shared" si="112" ref="Y82:Y89">SUM(W82:X82)</f>
        <v>700</v>
      </c>
      <c r="Z82" s="68"/>
      <c r="AA82" s="68">
        <f aca="true" t="shared" si="113" ref="AA82:AA89">SUM(Y82:Z82)</f>
        <v>700</v>
      </c>
      <c r="AB82" s="68"/>
      <c r="AC82" s="68">
        <f aca="true" t="shared" si="114" ref="AC82:AC89">SUM(AA82:AB82)</f>
        <v>700</v>
      </c>
      <c r="AD82" s="68"/>
      <c r="AE82" s="68">
        <f aca="true" t="shared" si="115" ref="AE82:AE89">SUM(AC82:AD82)</f>
        <v>700</v>
      </c>
      <c r="AF82" s="68"/>
      <c r="AG82" s="68">
        <f aca="true" t="shared" si="116" ref="AG82:AG89">SUM(AE82:AF82)</f>
        <v>700</v>
      </c>
    </row>
    <row r="83" spans="1:33" s="23" customFormat="1" ht="67.5">
      <c r="A83" s="79"/>
      <c r="B83" s="64"/>
      <c r="C83" s="80" t="s">
        <v>159</v>
      </c>
      <c r="D83" s="37" t="s">
        <v>54</v>
      </c>
      <c r="E83" s="68">
        <v>40800</v>
      </c>
      <c r="F83" s="68"/>
      <c r="G83" s="68">
        <f>SUM(E83:F83)</f>
        <v>40800</v>
      </c>
      <c r="H83" s="68"/>
      <c r="I83" s="68">
        <f>SUM(G83:H83)</f>
        <v>40800</v>
      </c>
      <c r="J83" s="68">
        <v>3801</v>
      </c>
      <c r="K83" s="68">
        <f>SUM(I83:J83)</f>
        <v>44601</v>
      </c>
      <c r="L83" s="68"/>
      <c r="M83" s="68">
        <f>SUM(K83:L83)</f>
        <v>44601</v>
      </c>
      <c r="N83" s="68"/>
      <c r="O83" s="68">
        <f t="shared" si="107"/>
        <v>44601</v>
      </c>
      <c r="P83" s="68"/>
      <c r="Q83" s="68">
        <f t="shared" si="108"/>
        <v>44601</v>
      </c>
      <c r="R83" s="68"/>
      <c r="S83" s="68">
        <f t="shared" si="109"/>
        <v>44601</v>
      </c>
      <c r="T83" s="68"/>
      <c r="U83" s="68">
        <f t="shared" si="110"/>
        <v>44601</v>
      </c>
      <c r="V83" s="68"/>
      <c r="W83" s="68">
        <f t="shared" si="111"/>
        <v>44601</v>
      </c>
      <c r="X83" s="68"/>
      <c r="Y83" s="68">
        <f t="shared" si="112"/>
        <v>44601</v>
      </c>
      <c r="Z83" s="68">
        <f>12530-8007</f>
        <v>4523</v>
      </c>
      <c r="AA83" s="68">
        <f t="shared" si="113"/>
        <v>49124</v>
      </c>
      <c r="AB83" s="68"/>
      <c r="AC83" s="68">
        <f t="shared" si="114"/>
        <v>49124</v>
      </c>
      <c r="AD83" s="68">
        <v>13972</v>
      </c>
      <c r="AE83" s="68">
        <f t="shared" si="115"/>
        <v>63096</v>
      </c>
      <c r="AF83" s="68"/>
      <c r="AG83" s="68">
        <f t="shared" si="116"/>
        <v>63096</v>
      </c>
    </row>
    <row r="84" spans="1:33" s="23" customFormat="1" ht="23.25" customHeight="1">
      <c r="A84" s="79"/>
      <c r="B84" s="64"/>
      <c r="C84" s="114" t="s">
        <v>160</v>
      </c>
      <c r="D84" s="63" t="s">
        <v>11</v>
      </c>
      <c r="E84" s="68">
        <v>1091</v>
      </c>
      <c r="F84" s="68"/>
      <c r="G84" s="68">
        <f>SUM(E84:F84)</f>
        <v>1091</v>
      </c>
      <c r="H84" s="68"/>
      <c r="I84" s="68">
        <f>SUM(G84:H84)</f>
        <v>1091</v>
      </c>
      <c r="J84" s="68">
        <v>15</v>
      </c>
      <c r="K84" s="68">
        <f>SUM(I84:J84)</f>
        <v>1106</v>
      </c>
      <c r="L84" s="68"/>
      <c r="M84" s="68">
        <f>SUM(K84:L84)</f>
        <v>1106</v>
      </c>
      <c r="N84" s="68"/>
      <c r="O84" s="68">
        <f t="shared" si="107"/>
        <v>1106</v>
      </c>
      <c r="P84" s="68"/>
      <c r="Q84" s="68">
        <f t="shared" si="108"/>
        <v>1106</v>
      </c>
      <c r="R84" s="68"/>
      <c r="S84" s="68">
        <f t="shared" si="109"/>
        <v>1106</v>
      </c>
      <c r="T84" s="68"/>
      <c r="U84" s="68">
        <f t="shared" si="110"/>
        <v>1106</v>
      </c>
      <c r="V84" s="68"/>
      <c r="W84" s="68">
        <f t="shared" si="111"/>
        <v>1106</v>
      </c>
      <c r="X84" s="68"/>
      <c r="Y84" s="68">
        <f t="shared" si="112"/>
        <v>1106</v>
      </c>
      <c r="Z84" s="68">
        <v>27</v>
      </c>
      <c r="AA84" s="68">
        <f t="shared" si="113"/>
        <v>1133</v>
      </c>
      <c r="AB84" s="68"/>
      <c r="AC84" s="68">
        <f t="shared" si="114"/>
        <v>1133</v>
      </c>
      <c r="AD84" s="68">
        <v>392</v>
      </c>
      <c r="AE84" s="68">
        <f t="shared" si="115"/>
        <v>1525</v>
      </c>
      <c r="AF84" s="68"/>
      <c r="AG84" s="68">
        <f t="shared" si="116"/>
        <v>1525</v>
      </c>
    </row>
    <row r="85" spans="1:33" s="23" customFormat="1" ht="18" customHeight="1">
      <c r="A85" s="79"/>
      <c r="B85" s="64"/>
      <c r="C85" s="114" t="s">
        <v>161</v>
      </c>
      <c r="D85" s="37" t="s">
        <v>12</v>
      </c>
      <c r="E85" s="68">
        <v>7300</v>
      </c>
      <c r="F85" s="68"/>
      <c r="G85" s="68">
        <f>SUM(E85:F85)</f>
        <v>7300</v>
      </c>
      <c r="H85" s="68"/>
      <c r="I85" s="68">
        <f>SUM(G85:H85)</f>
        <v>7300</v>
      </c>
      <c r="J85" s="68">
        <v>20970</v>
      </c>
      <c r="K85" s="68">
        <f>SUM(I85:J85)</f>
        <v>28270</v>
      </c>
      <c r="L85" s="68"/>
      <c r="M85" s="68">
        <f>SUM(K85:L85)</f>
        <v>28270</v>
      </c>
      <c r="N85" s="68"/>
      <c r="O85" s="68">
        <f t="shared" si="107"/>
        <v>28270</v>
      </c>
      <c r="P85" s="68">
        <v>42231</v>
      </c>
      <c r="Q85" s="68">
        <f t="shared" si="108"/>
        <v>70501</v>
      </c>
      <c r="R85" s="68"/>
      <c r="S85" s="68">
        <f t="shared" si="109"/>
        <v>70501</v>
      </c>
      <c r="T85" s="68"/>
      <c r="U85" s="68">
        <f t="shared" si="110"/>
        <v>70501</v>
      </c>
      <c r="V85" s="68"/>
      <c r="W85" s="68">
        <f t="shared" si="111"/>
        <v>70501</v>
      </c>
      <c r="X85" s="68"/>
      <c r="Y85" s="68">
        <f t="shared" si="112"/>
        <v>70501</v>
      </c>
      <c r="Z85" s="68">
        <v>1000</v>
      </c>
      <c r="AA85" s="68">
        <f t="shared" si="113"/>
        <v>71501</v>
      </c>
      <c r="AB85" s="68"/>
      <c r="AC85" s="68">
        <f t="shared" si="114"/>
        <v>71501</v>
      </c>
      <c r="AD85" s="68">
        <v>150</v>
      </c>
      <c r="AE85" s="68">
        <f t="shared" si="115"/>
        <v>71651</v>
      </c>
      <c r="AF85" s="68"/>
      <c r="AG85" s="68">
        <f t="shared" si="116"/>
        <v>71651</v>
      </c>
    </row>
    <row r="86" spans="1:33" s="23" customFormat="1" ht="56.25">
      <c r="A86" s="79"/>
      <c r="B86" s="64"/>
      <c r="C86" s="114">
        <v>2010</v>
      </c>
      <c r="D86" s="74" t="s">
        <v>210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>
        <v>0</v>
      </c>
      <c r="Z86" s="68">
        <v>39330</v>
      </c>
      <c r="AA86" s="68">
        <f t="shared" si="113"/>
        <v>39330</v>
      </c>
      <c r="AB86" s="68"/>
      <c r="AC86" s="68">
        <f t="shared" si="114"/>
        <v>39330</v>
      </c>
      <c r="AD86" s="68"/>
      <c r="AE86" s="68">
        <f t="shared" si="115"/>
        <v>39330</v>
      </c>
      <c r="AF86" s="68"/>
      <c r="AG86" s="68">
        <f t="shared" si="116"/>
        <v>39330</v>
      </c>
    </row>
    <row r="87" spans="1:33" s="23" customFormat="1" ht="33.75">
      <c r="A87" s="79"/>
      <c r="B87" s="64"/>
      <c r="C87" s="114">
        <v>2030</v>
      </c>
      <c r="D87" s="74" t="s">
        <v>211</v>
      </c>
      <c r="E87" s="68"/>
      <c r="F87" s="68"/>
      <c r="G87" s="68"/>
      <c r="H87" s="68"/>
      <c r="I87" s="68"/>
      <c r="J87" s="68"/>
      <c r="K87" s="68"/>
      <c r="L87" s="68"/>
      <c r="M87" s="68">
        <v>0</v>
      </c>
      <c r="N87" s="68">
        <v>11966</v>
      </c>
      <c r="O87" s="68">
        <f t="shared" si="107"/>
        <v>11966</v>
      </c>
      <c r="P87" s="68"/>
      <c r="Q87" s="68">
        <f t="shared" si="108"/>
        <v>11966</v>
      </c>
      <c r="R87" s="68"/>
      <c r="S87" s="68">
        <f t="shared" si="109"/>
        <v>11966</v>
      </c>
      <c r="T87" s="68"/>
      <c r="U87" s="68">
        <f t="shared" si="110"/>
        <v>11966</v>
      </c>
      <c r="V87" s="68"/>
      <c r="W87" s="68">
        <f t="shared" si="111"/>
        <v>11966</v>
      </c>
      <c r="X87" s="68"/>
      <c r="Y87" s="68">
        <f t="shared" si="112"/>
        <v>11966</v>
      </c>
      <c r="Z87" s="68"/>
      <c r="AA87" s="68">
        <f t="shared" si="113"/>
        <v>11966</v>
      </c>
      <c r="AB87" s="68"/>
      <c r="AC87" s="68">
        <f t="shared" si="114"/>
        <v>11966</v>
      </c>
      <c r="AD87" s="68"/>
      <c r="AE87" s="68">
        <f t="shared" si="115"/>
        <v>11966</v>
      </c>
      <c r="AF87" s="68"/>
      <c r="AG87" s="68">
        <f t="shared" si="116"/>
        <v>11966</v>
      </c>
    </row>
    <row r="88" spans="1:33" s="23" customFormat="1" ht="51" customHeight="1">
      <c r="A88" s="79"/>
      <c r="B88" s="64"/>
      <c r="C88" s="114">
        <v>2310</v>
      </c>
      <c r="D88" s="37" t="s">
        <v>225</v>
      </c>
      <c r="E88" s="68">
        <v>4782</v>
      </c>
      <c r="F88" s="68"/>
      <c r="G88" s="68">
        <f>SUM(E88:F88)</f>
        <v>4782</v>
      </c>
      <c r="H88" s="68"/>
      <c r="I88" s="68">
        <f>SUM(G88:H88)</f>
        <v>4782</v>
      </c>
      <c r="J88" s="68">
        <v>2904</v>
      </c>
      <c r="K88" s="68">
        <f>SUM(I88:J88)</f>
        <v>7686</v>
      </c>
      <c r="L88" s="68"/>
      <c r="M88" s="68">
        <f>SUM(K88:L88)</f>
        <v>7686</v>
      </c>
      <c r="N88" s="68"/>
      <c r="O88" s="68">
        <f t="shared" si="107"/>
        <v>7686</v>
      </c>
      <c r="P88" s="68"/>
      <c r="Q88" s="68">
        <f t="shared" si="108"/>
        <v>7686</v>
      </c>
      <c r="R88" s="68"/>
      <c r="S88" s="68">
        <f t="shared" si="109"/>
        <v>7686</v>
      </c>
      <c r="T88" s="68"/>
      <c r="U88" s="68">
        <f t="shared" si="110"/>
        <v>7686</v>
      </c>
      <c r="V88" s="68"/>
      <c r="W88" s="68">
        <f t="shared" si="111"/>
        <v>7686</v>
      </c>
      <c r="X88" s="68"/>
      <c r="Y88" s="68">
        <f t="shared" si="112"/>
        <v>7686</v>
      </c>
      <c r="Z88" s="68"/>
      <c r="AA88" s="68">
        <f t="shared" si="113"/>
        <v>7686</v>
      </c>
      <c r="AB88" s="68"/>
      <c r="AC88" s="68">
        <f t="shared" si="114"/>
        <v>7686</v>
      </c>
      <c r="AD88" s="68"/>
      <c r="AE88" s="68">
        <f t="shared" si="115"/>
        <v>7686</v>
      </c>
      <c r="AF88" s="68"/>
      <c r="AG88" s="68">
        <f t="shared" si="116"/>
        <v>7686</v>
      </c>
    </row>
    <row r="89" spans="1:33" s="23" customFormat="1" ht="50.25" customHeight="1">
      <c r="A89" s="79"/>
      <c r="B89" s="64"/>
      <c r="C89" s="114">
        <v>6330</v>
      </c>
      <c r="D89" s="37" t="s">
        <v>376</v>
      </c>
      <c r="E89" s="68"/>
      <c r="F89" s="68"/>
      <c r="G89" s="68"/>
      <c r="H89" s="68"/>
      <c r="I89" s="68"/>
      <c r="J89" s="68"/>
      <c r="K89" s="68"/>
      <c r="L89" s="68"/>
      <c r="M89" s="68">
        <v>0</v>
      </c>
      <c r="N89" s="68">
        <v>63850</v>
      </c>
      <c r="O89" s="68">
        <f t="shared" si="107"/>
        <v>63850</v>
      </c>
      <c r="P89" s="68"/>
      <c r="Q89" s="68">
        <f t="shared" si="108"/>
        <v>63850</v>
      </c>
      <c r="R89" s="68"/>
      <c r="S89" s="68">
        <f t="shared" si="109"/>
        <v>63850</v>
      </c>
      <c r="T89" s="68"/>
      <c r="U89" s="68">
        <f t="shared" si="110"/>
        <v>63850</v>
      </c>
      <c r="V89" s="68"/>
      <c r="W89" s="68">
        <f t="shared" si="111"/>
        <v>63850</v>
      </c>
      <c r="X89" s="68"/>
      <c r="Y89" s="68">
        <f t="shared" si="112"/>
        <v>63850</v>
      </c>
      <c r="Z89" s="68"/>
      <c r="AA89" s="68">
        <f t="shared" si="113"/>
        <v>63850</v>
      </c>
      <c r="AB89" s="68"/>
      <c r="AC89" s="68">
        <f t="shared" si="114"/>
        <v>63850</v>
      </c>
      <c r="AD89" s="68"/>
      <c r="AE89" s="68">
        <f t="shared" si="115"/>
        <v>63850</v>
      </c>
      <c r="AF89" s="68"/>
      <c r="AG89" s="68">
        <f t="shared" si="116"/>
        <v>63850</v>
      </c>
    </row>
    <row r="90" spans="1:33" s="23" customFormat="1" ht="19.5" customHeight="1">
      <c r="A90" s="69"/>
      <c r="B90" s="70">
        <v>80104</v>
      </c>
      <c r="C90" s="71"/>
      <c r="D90" s="37" t="s">
        <v>123</v>
      </c>
      <c r="E90" s="68">
        <f aca="true" t="shared" si="117" ref="E90:AG90">SUM(E91)</f>
        <v>2000</v>
      </c>
      <c r="F90" s="68">
        <f t="shared" si="117"/>
        <v>0</v>
      </c>
      <c r="G90" s="68">
        <f t="shared" si="117"/>
        <v>2000</v>
      </c>
      <c r="H90" s="68">
        <f t="shared" si="117"/>
        <v>0</v>
      </c>
      <c r="I90" s="68">
        <f t="shared" si="117"/>
        <v>2000</v>
      </c>
      <c r="J90" s="68">
        <f t="shared" si="117"/>
        <v>0</v>
      </c>
      <c r="K90" s="68">
        <f t="shared" si="117"/>
        <v>2000</v>
      </c>
      <c r="L90" s="68">
        <f t="shared" si="117"/>
        <v>0</v>
      </c>
      <c r="M90" s="68">
        <f t="shared" si="117"/>
        <v>2000</v>
      </c>
      <c r="N90" s="68">
        <f t="shared" si="117"/>
        <v>0</v>
      </c>
      <c r="O90" s="68">
        <f t="shared" si="117"/>
        <v>2000</v>
      </c>
      <c r="P90" s="68">
        <f t="shared" si="117"/>
        <v>0</v>
      </c>
      <c r="Q90" s="68">
        <f t="shared" si="117"/>
        <v>2000</v>
      </c>
      <c r="R90" s="68">
        <f t="shared" si="117"/>
        <v>0</v>
      </c>
      <c r="S90" s="68">
        <f t="shared" si="117"/>
        <v>2000</v>
      </c>
      <c r="T90" s="68">
        <f t="shared" si="117"/>
        <v>0</v>
      </c>
      <c r="U90" s="68">
        <f t="shared" si="117"/>
        <v>2000</v>
      </c>
      <c r="V90" s="68">
        <f t="shared" si="117"/>
        <v>0</v>
      </c>
      <c r="W90" s="68">
        <f t="shared" si="117"/>
        <v>2000</v>
      </c>
      <c r="X90" s="68">
        <f t="shared" si="117"/>
        <v>0</v>
      </c>
      <c r="Y90" s="68">
        <f t="shared" si="117"/>
        <v>2000</v>
      </c>
      <c r="Z90" s="68">
        <f t="shared" si="117"/>
        <v>0</v>
      </c>
      <c r="AA90" s="68">
        <f t="shared" si="117"/>
        <v>2000</v>
      </c>
      <c r="AB90" s="68">
        <f t="shared" si="117"/>
        <v>0</v>
      </c>
      <c r="AC90" s="68">
        <f t="shared" si="117"/>
        <v>2000</v>
      </c>
      <c r="AD90" s="68">
        <f t="shared" si="117"/>
        <v>0</v>
      </c>
      <c r="AE90" s="68">
        <f t="shared" si="117"/>
        <v>2000</v>
      </c>
      <c r="AF90" s="68">
        <f t="shared" si="117"/>
        <v>0</v>
      </c>
      <c r="AG90" s="68">
        <f t="shared" si="117"/>
        <v>2000</v>
      </c>
    </row>
    <row r="91" spans="1:33" s="23" customFormat="1" ht="67.5">
      <c r="A91" s="69"/>
      <c r="B91" s="70"/>
      <c r="C91" s="71" t="s">
        <v>159</v>
      </c>
      <c r="D91" s="37" t="s">
        <v>54</v>
      </c>
      <c r="E91" s="68">
        <v>2000</v>
      </c>
      <c r="F91" s="68"/>
      <c r="G91" s="68">
        <f>SUM(E91:F91)</f>
        <v>2000</v>
      </c>
      <c r="H91" s="68"/>
      <c r="I91" s="68">
        <f>SUM(G91:H91)</f>
        <v>2000</v>
      </c>
      <c r="J91" s="68"/>
      <c r="K91" s="68">
        <f>SUM(I91:J91)</f>
        <v>2000</v>
      </c>
      <c r="L91" s="68"/>
      <c r="M91" s="68">
        <f>SUM(K91:L91)</f>
        <v>2000</v>
      </c>
      <c r="N91" s="68"/>
      <c r="O91" s="68">
        <f>SUM(M91:N91)</f>
        <v>2000</v>
      </c>
      <c r="P91" s="68"/>
      <c r="Q91" s="68">
        <f>SUM(O91:P91)</f>
        <v>2000</v>
      </c>
      <c r="R91" s="68"/>
      <c r="S91" s="68">
        <f>SUM(Q91:R91)</f>
        <v>2000</v>
      </c>
      <c r="T91" s="68"/>
      <c r="U91" s="68">
        <f>SUM(S91:T91)</f>
        <v>2000</v>
      </c>
      <c r="V91" s="68"/>
      <c r="W91" s="68">
        <f>SUM(U91:V91)</f>
        <v>2000</v>
      </c>
      <c r="X91" s="68"/>
      <c r="Y91" s="68">
        <f>SUM(W91:X91)</f>
        <v>2000</v>
      </c>
      <c r="Z91" s="68"/>
      <c r="AA91" s="68">
        <f>SUM(Y91:Z91)</f>
        <v>2000</v>
      </c>
      <c r="AB91" s="68"/>
      <c r="AC91" s="68">
        <f>SUM(AA91:AB91)</f>
        <v>2000</v>
      </c>
      <c r="AD91" s="68"/>
      <c r="AE91" s="68">
        <f>SUM(AC91:AD91)</f>
        <v>2000</v>
      </c>
      <c r="AF91" s="68"/>
      <c r="AG91" s="68">
        <f>SUM(AE91:AF91)</f>
        <v>2000</v>
      </c>
    </row>
    <row r="92" spans="1:33" s="23" customFormat="1" ht="18.75" customHeight="1">
      <c r="A92" s="69"/>
      <c r="B92" s="70">
        <v>80110</v>
      </c>
      <c r="C92" s="71"/>
      <c r="D92" s="37" t="s">
        <v>51</v>
      </c>
      <c r="E92" s="68">
        <f aca="true" t="shared" si="118" ref="E92:K92">SUM(E93:E96)</f>
        <v>9121</v>
      </c>
      <c r="F92" s="68">
        <f t="shared" si="118"/>
        <v>0</v>
      </c>
      <c r="G92" s="68">
        <f t="shared" si="118"/>
        <v>9121</v>
      </c>
      <c r="H92" s="68">
        <f t="shared" si="118"/>
        <v>0</v>
      </c>
      <c r="I92" s="68">
        <f t="shared" si="118"/>
        <v>9121</v>
      </c>
      <c r="J92" s="68">
        <f t="shared" si="118"/>
        <v>501</v>
      </c>
      <c r="K92" s="68">
        <f t="shared" si="118"/>
        <v>9622</v>
      </c>
      <c r="L92" s="68">
        <f aca="true" t="shared" si="119" ref="L92:Q92">SUM(L93:L96)</f>
        <v>0</v>
      </c>
      <c r="M92" s="68">
        <f t="shared" si="119"/>
        <v>9622</v>
      </c>
      <c r="N92" s="68">
        <f t="shared" si="119"/>
        <v>0</v>
      </c>
      <c r="O92" s="68">
        <f t="shared" si="119"/>
        <v>9622</v>
      </c>
      <c r="P92" s="68">
        <f t="shared" si="119"/>
        <v>0</v>
      </c>
      <c r="Q92" s="68">
        <f t="shared" si="119"/>
        <v>9622</v>
      </c>
      <c r="R92" s="68">
        <f aca="true" t="shared" si="120" ref="R92:W92">SUM(R93:R96)</f>
        <v>0</v>
      </c>
      <c r="S92" s="68">
        <f t="shared" si="120"/>
        <v>9622</v>
      </c>
      <c r="T92" s="68">
        <f t="shared" si="120"/>
        <v>0</v>
      </c>
      <c r="U92" s="68">
        <f t="shared" si="120"/>
        <v>9622</v>
      </c>
      <c r="V92" s="68">
        <f t="shared" si="120"/>
        <v>0</v>
      </c>
      <c r="W92" s="68">
        <f t="shared" si="120"/>
        <v>9622</v>
      </c>
      <c r="X92" s="68">
        <f>SUM(X93:X96)</f>
        <v>0</v>
      </c>
      <c r="Y92" s="68">
        <f aca="true" t="shared" si="121" ref="Y92:AE92">SUM(Y93:Y97)</f>
        <v>9622</v>
      </c>
      <c r="Z92" s="68">
        <f t="shared" si="121"/>
        <v>46300</v>
      </c>
      <c r="AA92" s="68">
        <f t="shared" si="121"/>
        <v>55922</v>
      </c>
      <c r="AB92" s="68">
        <f t="shared" si="121"/>
        <v>0</v>
      </c>
      <c r="AC92" s="68">
        <f t="shared" si="121"/>
        <v>55922</v>
      </c>
      <c r="AD92" s="68">
        <f t="shared" si="121"/>
        <v>51</v>
      </c>
      <c r="AE92" s="68">
        <f t="shared" si="121"/>
        <v>55973</v>
      </c>
      <c r="AF92" s="68">
        <f>SUM(AF93:AF97)</f>
        <v>0</v>
      </c>
      <c r="AG92" s="68">
        <f>SUM(AG93:AG97)</f>
        <v>55973</v>
      </c>
    </row>
    <row r="93" spans="1:33" s="23" customFormat="1" ht="18.75" customHeight="1">
      <c r="A93" s="69"/>
      <c r="B93" s="70"/>
      <c r="C93" s="80" t="s">
        <v>181</v>
      </c>
      <c r="D93" s="37" t="s">
        <v>143</v>
      </c>
      <c r="E93" s="68">
        <v>100</v>
      </c>
      <c r="F93" s="68"/>
      <c r="G93" s="68">
        <f>SUM(E93:F93)</f>
        <v>100</v>
      </c>
      <c r="H93" s="68"/>
      <c r="I93" s="68">
        <f>SUM(G93:H93)</f>
        <v>100</v>
      </c>
      <c r="J93" s="68"/>
      <c r="K93" s="68">
        <f>SUM(I93:J93)</f>
        <v>100</v>
      </c>
      <c r="L93" s="68"/>
      <c r="M93" s="68">
        <f>SUM(K93:L93)</f>
        <v>100</v>
      </c>
      <c r="N93" s="68"/>
      <c r="O93" s="68">
        <f>SUM(M93:N93)</f>
        <v>100</v>
      </c>
      <c r="P93" s="68"/>
      <c r="Q93" s="68">
        <f>SUM(O93:P93)</f>
        <v>100</v>
      </c>
      <c r="R93" s="68"/>
      <c r="S93" s="68">
        <f>SUM(Q93:R93)</f>
        <v>100</v>
      </c>
      <c r="T93" s="68"/>
      <c r="U93" s="68">
        <f>SUM(S93:T93)</f>
        <v>100</v>
      </c>
      <c r="V93" s="68"/>
      <c r="W93" s="68">
        <f>SUM(U93:V93)</f>
        <v>100</v>
      </c>
      <c r="X93" s="68"/>
      <c r="Y93" s="68">
        <f>SUM(W93:X93)</f>
        <v>100</v>
      </c>
      <c r="Z93" s="68"/>
      <c r="AA93" s="68">
        <f>SUM(Y93:Z93)</f>
        <v>100</v>
      </c>
      <c r="AB93" s="68"/>
      <c r="AC93" s="68">
        <f>SUM(AA93:AB93)</f>
        <v>100</v>
      </c>
      <c r="AD93" s="68">
        <v>50</v>
      </c>
      <c r="AE93" s="68">
        <f>SUM(AC93:AD93)</f>
        <v>150</v>
      </c>
      <c r="AF93" s="68"/>
      <c r="AG93" s="68">
        <f>SUM(AE93:AF93)</f>
        <v>150</v>
      </c>
    </row>
    <row r="94" spans="1:33" s="23" customFormat="1" ht="72.75" customHeight="1">
      <c r="A94" s="69"/>
      <c r="B94" s="70"/>
      <c r="C94" s="71" t="s">
        <v>159</v>
      </c>
      <c r="D94" s="37" t="s">
        <v>54</v>
      </c>
      <c r="E94" s="68">
        <v>8000</v>
      </c>
      <c r="F94" s="68"/>
      <c r="G94" s="68">
        <f>SUM(E94:F94)</f>
        <v>8000</v>
      </c>
      <c r="H94" s="68"/>
      <c r="I94" s="68">
        <f>SUM(G94:H94)</f>
        <v>8000</v>
      </c>
      <c r="J94" s="68"/>
      <c r="K94" s="68">
        <f>SUM(I94:J94)</f>
        <v>8000</v>
      </c>
      <c r="L94" s="68"/>
      <c r="M94" s="68">
        <f>SUM(K94:L94)</f>
        <v>8000</v>
      </c>
      <c r="N94" s="68"/>
      <c r="O94" s="68">
        <f>SUM(M94:N94)</f>
        <v>8000</v>
      </c>
      <c r="P94" s="68"/>
      <c r="Q94" s="68">
        <f>SUM(O94:P94)</f>
        <v>8000</v>
      </c>
      <c r="R94" s="68"/>
      <c r="S94" s="68">
        <f>SUM(Q94:R94)</f>
        <v>8000</v>
      </c>
      <c r="T94" s="68"/>
      <c r="U94" s="68">
        <f>SUM(S94:T94)</f>
        <v>8000</v>
      </c>
      <c r="V94" s="68"/>
      <c r="W94" s="68">
        <f>SUM(U94:V94)</f>
        <v>8000</v>
      </c>
      <c r="X94" s="68"/>
      <c r="Y94" s="68">
        <f>SUM(W94:X94)</f>
        <v>8000</v>
      </c>
      <c r="Z94" s="68"/>
      <c r="AA94" s="68">
        <f>SUM(Y94:Z94)</f>
        <v>8000</v>
      </c>
      <c r="AB94" s="68"/>
      <c r="AC94" s="68">
        <f>SUM(AA94:AB94)</f>
        <v>8000</v>
      </c>
      <c r="AD94" s="68"/>
      <c r="AE94" s="68">
        <f>SUM(AC94:AD94)</f>
        <v>8000</v>
      </c>
      <c r="AF94" s="68"/>
      <c r="AG94" s="68">
        <f>SUM(AE94:AF94)</f>
        <v>8000</v>
      </c>
    </row>
    <row r="95" spans="1:33" s="23" customFormat="1" ht="22.5" customHeight="1">
      <c r="A95" s="69"/>
      <c r="B95" s="70"/>
      <c r="C95" s="71" t="s">
        <v>160</v>
      </c>
      <c r="D95" s="63" t="s">
        <v>11</v>
      </c>
      <c r="E95" s="68">
        <v>21</v>
      </c>
      <c r="F95" s="68"/>
      <c r="G95" s="68">
        <f>SUM(E95:F95)</f>
        <v>21</v>
      </c>
      <c r="H95" s="68"/>
      <c r="I95" s="68">
        <f>SUM(G95:H95)</f>
        <v>21</v>
      </c>
      <c r="J95" s="68">
        <v>1</v>
      </c>
      <c r="K95" s="68">
        <f>SUM(I95:J95)</f>
        <v>22</v>
      </c>
      <c r="L95" s="68"/>
      <c r="M95" s="68">
        <f>SUM(K95:L95)</f>
        <v>22</v>
      </c>
      <c r="N95" s="68"/>
      <c r="O95" s="68">
        <f>SUM(M95:N95)</f>
        <v>22</v>
      </c>
      <c r="P95" s="68"/>
      <c r="Q95" s="68">
        <f>SUM(O95:P95)</f>
        <v>22</v>
      </c>
      <c r="R95" s="68"/>
      <c r="S95" s="68">
        <f>SUM(Q95:R95)</f>
        <v>22</v>
      </c>
      <c r="T95" s="68"/>
      <c r="U95" s="68">
        <f>SUM(S95:T95)</f>
        <v>22</v>
      </c>
      <c r="V95" s="68"/>
      <c r="W95" s="68">
        <f>SUM(U95:V95)</f>
        <v>22</v>
      </c>
      <c r="X95" s="68"/>
      <c r="Y95" s="68">
        <f>SUM(W95:X95)</f>
        <v>22</v>
      </c>
      <c r="Z95" s="68"/>
      <c r="AA95" s="68">
        <f>SUM(Y95:Z95)</f>
        <v>22</v>
      </c>
      <c r="AB95" s="68"/>
      <c r="AC95" s="68">
        <f>SUM(AA95:AB95)</f>
        <v>22</v>
      </c>
      <c r="AD95" s="68">
        <v>1</v>
      </c>
      <c r="AE95" s="68">
        <f>SUM(AC95:AD95)</f>
        <v>23</v>
      </c>
      <c r="AF95" s="68"/>
      <c r="AG95" s="68">
        <f>SUM(AE95:AF95)</f>
        <v>23</v>
      </c>
    </row>
    <row r="96" spans="1:33" s="23" customFormat="1" ht="16.5" customHeight="1">
      <c r="A96" s="69"/>
      <c r="B96" s="70"/>
      <c r="C96" s="71" t="s">
        <v>161</v>
      </c>
      <c r="D96" s="37" t="s">
        <v>12</v>
      </c>
      <c r="E96" s="68">
        <v>1000</v>
      </c>
      <c r="F96" s="68"/>
      <c r="G96" s="68">
        <f>SUM(E96:F96)</f>
        <v>1000</v>
      </c>
      <c r="H96" s="68"/>
      <c r="I96" s="68">
        <f>SUM(G96:H96)</f>
        <v>1000</v>
      </c>
      <c r="J96" s="68">
        <v>500</v>
      </c>
      <c r="K96" s="68">
        <f>SUM(I96:J96)</f>
        <v>1500</v>
      </c>
      <c r="L96" s="68"/>
      <c r="M96" s="68">
        <f>SUM(K96:L96)</f>
        <v>1500</v>
      </c>
      <c r="N96" s="68"/>
      <c r="O96" s="68">
        <f>SUM(M96:N96)</f>
        <v>1500</v>
      </c>
      <c r="P96" s="68"/>
      <c r="Q96" s="68">
        <f>SUM(O96:P96)</f>
        <v>1500</v>
      </c>
      <c r="R96" s="68"/>
      <c r="S96" s="68">
        <f>SUM(Q96:R96)</f>
        <v>1500</v>
      </c>
      <c r="T96" s="68"/>
      <c r="U96" s="68">
        <f>SUM(S96:T96)</f>
        <v>1500</v>
      </c>
      <c r="V96" s="68"/>
      <c r="W96" s="68">
        <f>SUM(U96:V96)</f>
        <v>1500</v>
      </c>
      <c r="X96" s="68"/>
      <c r="Y96" s="68">
        <f>SUM(W96:X96)</f>
        <v>1500</v>
      </c>
      <c r="Z96" s="68">
        <v>9000</v>
      </c>
      <c r="AA96" s="68">
        <f>SUM(Y96:Z96)</f>
        <v>10500</v>
      </c>
      <c r="AB96" s="68"/>
      <c r="AC96" s="68">
        <f>SUM(AA96:AB96)</f>
        <v>10500</v>
      </c>
      <c r="AD96" s="68"/>
      <c r="AE96" s="68">
        <f>SUM(AC96:AD96)</f>
        <v>10500</v>
      </c>
      <c r="AF96" s="68"/>
      <c r="AG96" s="68">
        <f>SUM(AE96:AF96)</f>
        <v>10500</v>
      </c>
    </row>
    <row r="97" spans="1:33" s="23" customFormat="1" ht="56.25">
      <c r="A97" s="69"/>
      <c r="B97" s="70"/>
      <c r="C97" s="71">
        <v>2010</v>
      </c>
      <c r="D97" s="74" t="s">
        <v>210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>
        <v>0</v>
      </c>
      <c r="Z97" s="68">
        <v>37300</v>
      </c>
      <c r="AA97" s="68">
        <f>SUM(Y97:Z97)</f>
        <v>37300</v>
      </c>
      <c r="AB97" s="68"/>
      <c r="AC97" s="68">
        <f>SUM(AA97:AB97)</f>
        <v>37300</v>
      </c>
      <c r="AD97" s="68"/>
      <c r="AE97" s="68">
        <f>SUM(AC97:AD97)</f>
        <v>37300</v>
      </c>
      <c r="AF97" s="68"/>
      <c r="AG97" s="68">
        <f>SUM(AE97:AF97)</f>
        <v>37300</v>
      </c>
    </row>
    <row r="98" spans="1:33" s="23" customFormat="1" ht="22.5" customHeight="1">
      <c r="A98" s="69"/>
      <c r="B98" s="70">
        <v>80148</v>
      </c>
      <c r="C98" s="71"/>
      <c r="D98" s="63" t="s">
        <v>359</v>
      </c>
      <c r="E98" s="68">
        <f aca="true" t="shared" si="122" ref="E98:K98">SUM(E99:E100)</f>
        <v>123702</v>
      </c>
      <c r="F98" s="68">
        <f t="shared" si="122"/>
        <v>0</v>
      </c>
      <c r="G98" s="68">
        <f t="shared" si="122"/>
        <v>123702</v>
      </c>
      <c r="H98" s="68">
        <f t="shared" si="122"/>
        <v>0</v>
      </c>
      <c r="I98" s="68">
        <f t="shared" si="122"/>
        <v>123702</v>
      </c>
      <c r="J98" s="68">
        <f t="shared" si="122"/>
        <v>678</v>
      </c>
      <c r="K98" s="68">
        <f t="shared" si="122"/>
        <v>124380</v>
      </c>
      <c r="L98" s="68">
        <f aca="true" t="shared" si="123" ref="L98:Q98">SUM(L99:L100)</f>
        <v>0</v>
      </c>
      <c r="M98" s="68">
        <f t="shared" si="123"/>
        <v>124380</v>
      </c>
      <c r="N98" s="68">
        <f t="shared" si="123"/>
        <v>0</v>
      </c>
      <c r="O98" s="68">
        <f t="shared" si="123"/>
        <v>124380</v>
      </c>
      <c r="P98" s="68">
        <f t="shared" si="123"/>
        <v>0</v>
      </c>
      <c r="Q98" s="68">
        <f t="shared" si="123"/>
        <v>124380</v>
      </c>
      <c r="R98" s="68">
        <f aca="true" t="shared" si="124" ref="R98:W98">SUM(R99:R100)</f>
        <v>0</v>
      </c>
      <c r="S98" s="68">
        <f t="shared" si="124"/>
        <v>124380</v>
      </c>
      <c r="T98" s="68">
        <f t="shared" si="124"/>
        <v>0</v>
      </c>
      <c r="U98" s="68">
        <f t="shared" si="124"/>
        <v>124380</v>
      </c>
      <c r="V98" s="68">
        <f t="shared" si="124"/>
        <v>0</v>
      </c>
      <c r="W98" s="68">
        <f t="shared" si="124"/>
        <v>124380</v>
      </c>
      <c r="X98" s="68">
        <f aca="true" t="shared" si="125" ref="X98:AC98">SUM(X99:X100)</f>
        <v>0</v>
      </c>
      <c r="Y98" s="68">
        <f t="shared" si="125"/>
        <v>124380</v>
      </c>
      <c r="Z98" s="68">
        <f t="shared" si="125"/>
        <v>0</v>
      </c>
      <c r="AA98" s="68">
        <f t="shared" si="125"/>
        <v>124380</v>
      </c>
      <c r="AB98" s="68">
        <f t="shared" si="125"/>
        <v>0</v>
      </c>
      <c r="AC98" s="68">
        <f t="shared" si="125"/>
        <v>124380</v>
      </c>
      <c r="AD98" s="68">
        <f>SUM(AD99:AD100)</f>
        <v>0</v>
      </c>
      <c r="AE98" s="68">
        <f>SUM(AE99:AE100)</f>
        <v>124380</v>
      </c>
      <c r="AF98" s="68">
        <f>SUM(AF99:AF100)</f>
        <v>0</v>
      </c>
      <c r="AG98" s="68">
        <f>SUM(AG99:AG100)</f>
        <v>124380</v>
      </c>
    </row>
    <row r="99" spans="1:33" s="23" customFormat="1" ht="22.5" customHeight="1">
      <c r="A99" s="69"/>
      <c r="B99" s="70"/>
      <c r="C99" s="71" t="s">
        <v>190</v>
      </c>
      <c r="D99" s="63" t="s">
        <v>191</v>
      </c>
      <c r="E99" s="68">
        <v>123700</v>
      </c>
      <c r="F99" s="68"/>
      <c r="G99" s="68">
        <f>SUM(E99:F99)</f>
        <v>123700</v>
      </c>
      <c r="H99" s="68"/>
      <c r="I99" s="68">
        <f>SUM(G99:H99)</f>
        <v>123700</v>
      </c>
      <c r="J99" s="68">
        <v>680</v>
      </c>
      <c r="K99" s="68">
        <f>SUM(I99:J99)</f>
        <v>124380</v>
      </c>
      <c r="L99" s="68"/>
      <c r="M99" s="68">
        <f>SUM(K99:L99)</f>
        <v>124380</v>
      </c>
      <c r="N99" s="68"/>
      <c r="O99" s="68">
        <f>SUM(M99:N99)</f>
        <v>124380</v>
      </c>
      <c r="P99" s="68"/>
      <c r="Q99" s="68">
        <f>SUM(O99:P99)</f>
        <v>124380</v>
      </c>
      <c r="R99" s="68"/>
      <c r="S99" s="68">
        <f>SUM(Q99:R99)</f>
        <v>124380</v>
      </c>
      <c r="T99" s="68"/>
      <c r="U99" s="68">
        <f>SUM(S99:T99)</f>
        <v>124380</v>
      </c>
      <c r="V99" s="68"/>
      <c r="W99" s="68">
        <f>SUM(U99:V99)</f>
        <v>124380</v>
      </c>
      <c r="X99" s="68"/>
      <c r="Y99" s="68">
        <f>SUM(W99:X99)</f>
        <v>124380</v>
      </c>
      <c r="Z99" s="68"/>
      <c r="AA99" s="68">
        <f>SUM(Y99:Z99)</f>
        <v>124380</v>
      </c>
      <c r="AB99" s="68"/>
      <c r="AC99" s="68">
        <f>SUM(AA99:AB99)</f>
        <v>124380</v>
      </c>
      <c r="AD99" s="68"/>
      <c r="AE99" s="68">
        <f>SUM(AC99:AD99)</f>
        <v>124380</v>
      </c>
      <c r="AF99" s="68"/>
      <c r="AG99" s="68">
        <f>SUM(AE99:AF99)</f>
        <v>124380</v>
      </c>
    </row>
    <row r="100" spans="1:33" s="23" customFormat="1" ht="22.5" customHeight="1">
      <c r="A100" s="69"/>
      <c r="B100" s="70"/>
      <c r="C100" s="71" t="s">
        <v>160</v>
      </c>
      <c r="D100" s="63" t="s">
        <v>11</v>
      </c>
      <c r="E100" s="68">
        <v>2</v>
      </c>
      <c r="F100" s="68"/>
      <c r="G100" s="68">
        <f>SUM(E100:F100)</f>
        <v>2</v>
      </c>
      <c r="H100" s="68"/>
      <c r="I100" s="68">
        <f>SUM(G100:H100)</f>
        <v>2</v>
      </c>
      <c r="J100" s="68">
        <v>-2</v>
      </c>
      <c r="K100" s="68">
        <f>SUM(I100:J100)</f>
        <v>0</v>
      </c>
      <c r="L100" s="68"/>
      <c r="M100" s="68">
        <f>SUM(K100:L100)</f>
        <v>0</v>
      </c>
      <c r="N100" s="68"/>
      <c r="O100" s="68">
        <f>SUM(M100:N100)</f>
        <v>0</v>
      </c>
      <c r="P100" s="68"/>
      <c r="Q100" s="68">
        <f>SUM(O100:P100)</f>
        <v>0</v>
      </c>
      <c r="R100" s="68"/>
      <c r="S100" s="68">
        <f>SUM(Q100:R100)</f>
        <v>0</v>
      </c>
      <c r="T100" s="68"/>
      <c r="U100" s="68">
        <f>SUM(S100:T100)</f>
        <v>0</v>
      </c>
      <c r="V100" s="68"/>
      <c r="W100" s="68">
        <f>SUM(U100:V100)</f>
        <v>0</v>
      </c>
      <c r="X100" s="68"/>
      <c r="Y100" s="68">
        <f>SUM(W100:X100)</f>
        <v>0</v>
      </c>
      <c r="Z100" s="68"/>
      <c r="AA100" s="68">
        <f>SUM(Y100:Z100)</f>
        <v>0</v>
      </c>
      <c r="AB100" s="68"/>
      <c r="AC100" s="68">
        <f>SUM(AA100:AB100)</f>
        <v>0</v>
      </c>
      <c r="AD100" s="68"/>
      <c r="AE100" s="68">
        <f>SUM(AC100:AD100)</f>
        <v>0</v>
      </c>
      <c r="AF100" s="68"/>
      <c r="AG100" s="68">
        <f>SUM(AE100:AF100)</f>
        <v>0</v>
      </c>
    </row>
    <row r="101" spans="1:33" s="23" customFormat="1" ht="22.5" customHeight="1">
      <c r="A101" s="69"/>
      <c r="B101" s="70">
        <v>80195</v>
      </c>
      <c r="C101" s="71"/>
      <c r="D101" s="63" t="s">
        <v>6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>
        <f>SUM(AC102)</f>
        <v>0</v>
      </c>
      <c r="AD101" s="68">
        <f>SUM(AD102)</f>
        <v>936</v>
      </c>
      <c r="AE101" s="68">
        <f>SUM(AE102)</f>
        <v>936</v>
      </c>
      <c r="AF101" s="68">
        <f>SUM(AF102)</f>
        <v>0</v>
      </c>
      <c r="AG101" s="68">
        <f>SUM(AG102)</f>
        <v>936</v>
      </c>
    </row>
    <row r="102" spans="1:33" s="23" customFormat="1" ht="36.75" customHeight="1">
      <c r="A102" s="69"/>
      <c r="B102" s="70"/>
      <c r="C102" s="114">
        <v>2030</v>
      </c>
      <c r="D102" s="74" t="s">
        <v>211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>
        <v>0</v>
      </c>
      <c r="AD102" s="68">
        <v>936</v>
      </c>
      <c r="AE102" s="68">
        <f>SUM(AC102:AD102)</f>
        <v>936</v>
      </c>
      <c r="AF102" s="68"/>
      <c r="AG102" s="68">
        <f>SUM(AE102:AF102)</f>
        <v>936</v>
      </c>
    </row>
    <row r="103" spans="1:33" s="5" customFormat="1" ht="20.25" customHeight="1">
      <c r="A103" s="28" t="s">
        <v>152</v>
      </c>
      <c r="B103" s="1"/>
      <c r="C103" s="2"/>
      <c r="D103" s="29" t="s">
        <v>185</v>
      </c>
      <c r="E103" s="55">
        <f aca="true" t="shared" si="126" ref="E103:K103">SUM(E104,E106,E109,E114,E120,E112)</f>
        <v>8336341</v>
      </c>
      <c r="F103" s="55">
        <f t="shared" si="126"/>
        <v>530000</v>
      </c>
      <c r="G103" s="55">
        <f t="shared" si="126"/>
        <v>8866341</v>
      </c>
      <c r="H103" s="55">
        <f t="shared" si="126"/>
        <v>-73</v>
      </c>
      <c r="I103" s="55">
        <f t="shared" si="126"/>
        <v>8866268</v>
      </c>
      <c r="J103" s="55">
        <f t="shared" si="126"/>
        <v>5500</v>
      </c>
      <c r="K103" s="55">
        <f t="shared" si="126"/>
        <v>8871768</v>
      </c>
      <c r="L103" s="55">
        <f aca="true" t="shared" si="127" ref="L103:Q103">SUM(L104,L106,L109,L114,L120,L112)</f>
        <v>0</v>
      </c>
      <c r="M103" s="55">
        <f t="shared" si="127"/>
        <v>8871768</v>
      </c>
      <c r="N103" s="55">
        <f t="shared" si="127"/>
        <v>82751</v>
      </c>
      <c r="O103" s="55">
        <f t="shared" si="127"/>
        <v>8954519</v>
      </c>
      <c r="P103" s="55">
        <f t="shared" si="127"/>
        <v>0</v>
      </c>
      <c r="Q103" s="55">
        <f t="shared" si="127"/>
        <v>8954519</v>
      </c>
      <c r="R103" s="55">
        <f aca="true" t="shared" si="128" ref="R103:W103">SUM(R104,R106,R109,R114,R120,R112)</f>
        <v>0</v>
      </c>
      <c r="S103" s="55">
        <f t="shared" si="128"/>
        <v>8954519</v>
      </c>
      <c r="T103" s="55">
        <f t="shared" si="128"/>
        <v>0</v>
      </c>
      <c r="U103" s="55">
        <f t="shared" si="128"/>
        <v>8954519</v>
      </c>
      <c r="V103" s="55">
        <f t="shared" si="128"/>
        <v>88119</v>
      </c>
      <c r="W103" s="55">
        <f t="shared" si="128"/>
        <v>9042638</v>
      </c>
      <c r="X103" s="55">
        <f aca="true" t="shared" si="129" ref="X103:AC103">SUM(X104,X106,X109,X114,X120,X112)</f>
        <v>17765</v>
      </c>
      <c r="Y103" s="55">
        <f t="shared" si="129"/>
        <v>9060403</v>
      </c>
      <c r="Z103" s="55">
        <f t="shared" si="129"/>
        <v>458788</v>
      </c>
      <c r="AA103" s="55">
        <f t="shared" si="129"/>
        <v>9519191</v>
      </c>
      <c r="AB103" s="55">
        <f t="shared" si="129"/>
        <v>0</v>
      </c>
      <c r="AC103" s="55">
        <f t="shared" si="129"/>
        <v>9519191</v>
      </c>
      <c r="AD103" s="55">
        <f>SUM(AD104,AD106,AD109,AD114,AD120,AD112)</f>
        <v>136915</v>
      </c>
      <c r="AE103" s="55">
        <f>SUM(AE104,AE106,AE109,AE114,AE120,AE112)</f>
        <v>9656106</v>
      </c>
      <c r="AF103" s="55">
        <f>SUM(AF104,AF106,AF109,AF114,AF120,AF112)</f>
        <v>317204</v>
      </c>
      <c r="AG103" s="55">
        <f>SUM(AG104,AG106,AG109,AG114,AG120,AG112)</f>
        <v>9973310</v>
      </c>
    </row>
    <row r="104" spans="1:33" s="23" customFormat="1" ht="45">
      <c r="A104" s="69"/>
      <c r="B104" s="46">
        <v>85212</v>
      </c>
      <c r="C104" s="76"/>
      <c r="D104" s="74" t="s">
        <v>252</v>
      </c>
      <c r="E104" s="68">
        <f aca="true" t="shared" si="130" ref="E104:AG104">SUM(E105:E105)</f>
        <v>6551300</v>
      </c>
      <c r="F104" s="68">
        <f t="shared" si="130"/>
        <v>0</v>
      </c>
      <c r="G104" s="68">
        <f t="shared" si="130"/>
        <v>6551300</v>
      </c>
      <c r="H104" s="68">
        <f t="shared" si="130"/>
        <v>0</v>
      </c>
      <c r="I104" s="68">
        <f t="shared" si="130"/>
        <v>6551300</v>
      </c>
      <c r="J104" s="68">
        <f t="shared" si="130"/>
        <v>0</v>
      </c>
      <c r="K104" s="68">
        <f t="shared" si="130"/>
        <v>6551300</v>
      </c>
      <c r="L104" s="68">
        <f t="shared" si="130"/>
        <v>0</v>
      </c>
      <c r="M104" s="68">
        <f t="shared" si="130"/>
        <v>6551300</v>
      </c>
      <c r="N104" s="68">
        <f t="shared" si="130"/>
        <v>0</v>
      </c>
      <c r="O104" s="68">
        <f t="shared" si="130"/>
        <v>6551300</v>
      </c>
      <c r="P104" s="68">
        <f t="shared" si="130"/>
        <v>0</v>
      </c>
      <c r="Q104" s="68">
        <f t="shared" si="130"/>
        <v>6551300</v>
      </c>
      <c r="R104" s="68">
        <f t="shared" si="130"/>
        <v>0</v>
      </c>
      <c r="S104" s="68">
        <f t="shared" si="130"/>
        <v>6551300</v>
      </c>
      <c r="T104" s="68">
        <f t="shared" si="130"/>
        <v>0</v>
      </c>
      <c r="U104" s="68">
        <f t="shared" si="130"/>
        <v>6551300</v>
      </c>
      <c r="V104" s="68">
        <f t="shared" si="130"/>
        <v>0</v>
      </c>
      <c r="W104" s="68">
        <f t="shared" si="130"/>
        <v>6551300</v>
      </c>
      <c r="X104" s="68">
        <f t="shared" si="130"/>
        <v>0</v>
      </c>
      <c r="Y104" s="68">
        <f t="shared" si="130"/>
        <v>6551300</v>
      </c>
      <c r="Z104" s="68">
        <f t="shared" si="130"/>
        <v>0</v>
      </c>
      <c r="AA104" s="68">
        <f t="shared" si="130"/>
        <v>6551300</v>
      </c>
      <c r="AB104" s="68">
        <f t="shared" si="130"/>
        <v>0</v>
      </c>
      <c r="AC104" s="68">
        <f t="shared" si="130"/>
        <v>6551300</v>
      </c>
      <c r="AD104" s="68">
        <f t="shared" si="130"/>
        <v>0</v>
      </c>
      <c r="AE104" s="68">
        <f t="shared" si="130"/>
        <v>6551300</v>
      </c>
      <c r="AF104" s="68">
        <f t="shared" si="130"/>
        <v>100000</v>
      </c>
      <c r="AG104" s="68">
        <f t="shared" si="130"/>
        <v>6651300</v>
      </c>
    </row>
    <row r="105" spans="1:33" s="23" customFormat="1" ht="56.25">
      <c r="A105" s="69"/>
      <c r="B105" s="46"/>
      <c r="C105" s="76">
        <v>2010</v>
      </c>
      <c r="D105" s="74" t="s">
        <v>210</v>
      </c>
      <c r="E105" s="68">
        <v>6551300</v>
      </c>
      <c r="F105" s="68"/>
      <c r="G105" s="68">
        <f>SUM(E105:F105)</f>
        <v>6551300</v>
      </c>
      <c r="H105" s="68"/>
      <c r="I105" s="68">
        <f>SUM(G105:H105)</f>
        <v>6551300</v>
      </c>
      <c r="J105" s="68"/>
      <c r="K105" s="68">
        <f>SUM(I105:J105)</f>
        <v>6551300</v>
      </c>
      <c r="L105" s="68"/>
      <c r="M105" s="68">
        <f>SUM(K105:L105)</f>
        <v>6551300</v>
      </c>
      <c r="N105" s="68"/>
      <c r="O105" s="68">
        <f>SUM(M105:N105)</f>
        <v>6551300</v>
      </c>
      <c r="P105" s="68"/>
      <c r="Q105" s="68">
        <f>SUM(O105:P105)</f>
        <v>6551300</v>
      </c>
      <c r="R105" s="68"/>
      <c r="S105" s="68">
        <f>SUM(Q105:R105)</f>
        <v>6551300</v>
      </c>
      <c r="T105" s="68"/>
      <c r="U105" s="68">
        <f>SUM(S105:T105)</f>
        <v>6551300</v>
      </c>
      <c r="V105" s="68"/>
      <c r="W105" s="68">
        <f>SUM(U105:V105)</f>
        <v>6551300</v>
      </c>
      <c r="X105" s="68"/>
      <c r="Y105" s="68">
        <f>SUM(W105:X105)</f>
        <v>6551300</v>
      </c>
      <c r="Z105" s="68"/>
      <c r="AA105" s="68">
        <f>SUM(Y105:Z105)</f>
        <v>6551300</v>
      </c>
      <c r="AB105" s="68"/>
      <c r="AC105" s="68">
        <f>SUM(AA105:AB105)</f>
        <v>6551300</v>
      </c>
      <c r="AD105" s="68"/>
      <c r="AE105" s="68">
        <f>SUM(AC105:AD105)</f>
        <v>6551300</v>
      </c>
      <c r="AF105" s="68">
        <v>100000</v>
      </c>
      <c r="AG105" s="68">
        <f>SUM(AE105:AF105)</f>
        <v>6651300</v>
      </c>
    </row>
    <row r="106" spans="1:33" s="23" customFormat="1" ht="67.5">
      <c r="A106" s="69"/>
      <c r="B106" s="46">
        <v>85213</v>
      </c>
      <c r="C106" s="77"/>
      <c r="D106" s="74" t="s">
        <v>250</v>
      </c>
      <c r="E106" s="68">
        <f aca="true" t="shared" si="131" ref="E106:K106">SUM(E107:E108)</f>
        <v>49134</v>
      </c>
      <c r="F106" s="68">
        <f t="shared" si="131"/>
        <v>0</v>
      </c>
      <c r="G106" s="68">
        <f t="shared" si="131"/>
        <v>49134</v>
      </c>
      <c r="H106" s="68">
        <f t="shared" si="131"/>
        <v>-73</v>
      </c>
      <c r="I106" s="68">
        <f t="shared" si="131"/>
        <v>49061</v>
      </c>
      <c r="J106" s="68">
        <f t="shared" si="131"/>
        <v>0</v>
      </c>
      <c r="K106" s="68">
        <f t="shared" si="131"/>
        <v>49061</v>
      </c>
      <c r="L106" s="68">
        <f aca="true" t="shared" si="132" ref="L106:Q106">SUM(L107:L108)</f>
        <v>0</v>
      </c>
      <c r="M106" s="68">
        <f t="shared" si="132"/>
        <v>49061</v>
      </c>
      <c r="N106" s="68">
        <f t="shared" si="132"/>
        <v>0</v>
      </c>
      <c r="O106" s="68">
        <f t="shared" si="132"/>
        <v>49061</v>
      </c>
      <c r="P106" s="68">
        <f t="shared" si="132"/>
        <v>0</v>
      </c>
      <c r="Q106" s="68">
        <f t="shared" si="132"/>
        <v>49061</v>
      </c>
      <c r="R106" s="68">
        <f aca="true" t="shared" si="133" ref="R106:W106">SUM(R107:R108)</f>
        <v>0</v>
      </c>
      <c r="S106" s="68">
        <f t="shared" si="133"/>
        <v>49061</v>
      </c>
      <c r="T106" s="68">
        <f t="shared" si="133"/>
        <v>0</v>
      </c>
      <c r="U106" s="68">
        <f t="shared" si="133"/>
        <v>49061</v>
      </c>
      <c r="V106" s="68">
        <f t="shared" si="133"/>
        <v>3673</v>
      </c>
      <c r="W106" s="68">
        <f t="shared" si="133"/>
        <v>52734</v>
      </c>
      <c r="X106" s="68">
        <f aca="true" t="shared" si="134" ref="X106:AC106">SUM(X107:X108)</f>
        <v>0</v>
      </c>
      <c r="Y106" s="68">
        <f t="shared" si="134"/>
        <v>52734</v>
      </c>
      <c r="Z106" s="68">
        <f t="shared" si="134"/>
        <v>0</v>
      </c>
      <c r="AA106" s="68">
        <f t="shared" si="134"/>
        <v>52734</v>
      </c>
      <c r="AB106" s="68">
        <f t="shared" si="134"/>
        <v>0</v>
      </c>
      <c r="AC106" s="68">
        <f t="shared" si="134"/>
        <v>52734</v>
      </c>
      <c r="AD106" s="68">
        <f>SUM(AD107:AD108)</f>
        <v>-2134</v>
      </c>
      <c r="AE106" s="68">
        <f>SUM(AE107:AE108)</f>
        <v>50600</v>
      </c>
      <c r="AF106" s="68">
        <f>SUM(AF107:AF108)</f>
        <v>1000</v>
      </c>
      <c r="AG106" s="68">
        <f>SUM(AG107:AG108)</f>
        <v>51600</v>
      </c>
    </row>
    <row r="107" spans="1:33" s="23" customFormat="1" ht="56.25">
      <c r="A107" s="69"/>
      <c r="B107" s="46"/>
      <c r="C107" s="77">
        <v>2010</v>
      </c>
      <c r="D107" s="74" t="s">
        <v>210</v>
      </c>
      <c r="E107" s="68">
        <v>12000</v>
      </c>
      <c r="F107" s="68"/>
      <c r="G107" s="68">
        <f>SUM(E107:F107)</f>
        <v>12000</v>
      </c>
      <c r="H107" s="68">
        <v>-73</v>
      </c>
      <c r="I107" s="68">
        <f>SUM(G107:H107)</f>
        <v>11927</v>
      </c>
      <c r="J107" s="68"/>
      <c r="K107" s="68">
        <f>SUM(I107:J107)</f>
        <v>11927</v>
      </c>
      <c r="L107" s="68"/>
      <c r="M107" s="68">
        <f>SUM(K107:L107)</f>
        <v>11927</v>
      </c>
      <c r="N107" s="68"/>
      <c r="O107" s="68">
        <f>SUM(M107:N107)</f>
        <v>11927</v>
      </c>
      <c r="P107" s="68"/>
      <c r="Q107" s="68">
        <f>SUM(O107:P107)</f>
        <v>11927</v>
      </c>
      <c r="R107" s="68"/>
      <c r="S107" s="68">
        <f>SUM(Q107:R107)</f>
        <v>11927</v>
      </c>
      <c r="T107" s="68"/>
      <c r="U107" s="68">
        <f>SUM(S107:T107)</f>
        <v>11927</v>
      </c>
      <c r="V107" s="68">
        <v>3673</v>
      </c>
      <c r="W107" s="68">
        <f>SUM(U107:V107)</f>
        <v>15600</v>
      </c>
      <c r="X107" s="68"/>
      <c r="Y107" s="68">
        <f>SUM(W107:X107)</f>
        <v>15600</v>
      </c>
      <c r="Z107" s="68"/>
      <c r="AA107" s="68">
        <f>SUM(Y107:Z107)</f>
        <v>15600</v>
      </c>
      <c r="AB107" s="68"/>
      <c r="AC107" s="68">
        <f>SUM(AA107:AB107)</f>
        <v>15600</v>
      </c>
      <c r="AD107" s="68">
        <v>1400</v>
      </c>
      <c r="AE107" s="68">
        <f>SUM(AC107:AD107)</f>
        <v>17000</v>
      </c>
      <c r="AF107" s="68">
        <v>1000</v>
      </c>
      <c r="AG107" s="68">
        <f>SUM(AE107:AF107)</f>
        <v>18000</v>
      </c>
    </row>
    <row r="108" spans="1:33" s="23" customFormat="1" ht="33.75">
      <c r="A108" s="69"/>
      <c r="B108" s="46"/>
      <c r="C108" s="71">
        <v>2030</v>
      </c>
      <c r="D108" s="74" t="s">
        <v>211</v>
      </c>
      <c r="E108" s="68">
        <v>37134</v>
      </c>
      <c r="F108" s="68"/>
      <c r="G108" s="68">
        <f>SUM(E108:F108)</f>
        <v>37134</v>
      </c>
      <c r="H108" s="68"/>
      <c r="I108" s="68">
        <f>SUM(G108:H108)</f>
        <v>37134</v>
      </c>
      <c r="J108" s="68"/>
      <c r="K108" s="68">
        <f>SUM(I108:J108)</f>
        <v>37134</v>
      </c>
      <c r="L108" s="68"/>
      <c r="M108" s="68">
        <f>SUM(K108:L108)</f>
        <v>37134</v>
      </c>
      <c r="N108" s="68"/>
      <c r="O108" s="68">
        <f>SUM(M108:N108)</f>
        <v>37134</v>
      </c>
      <c r="P108" s="68"/>
      <c r="Q108" s="68">
        <f>SUM(O108:P108)</f>
        <v>37134</v>
      </c>
      <c r="R108" s="68"/>
      <c r="S108" s="68">
        <f>SUM(Q108:R108)</f>
        <v>37134</v>
      </c>
      <c r="T108" s="68"/>
      <c r="U108" s="68">
        <f>SUM(S108:T108)</f>
        <v>37134</v>
      </c>
      <c r="V108" s="68"/>
      <c r="W108" s="68">
        <f>SUM(U108:V108)</f>
        <v>37134</v>
      </c>
      <c r="X108" s="68"/>
      <c r="Y108" s="68">
        <f>SUM(W108:X108)</f>
        <v>37134</v>
      </c>
      <c r="Z108" s="68"/>
      <c r="AA108" s="68">
        <f>SUM(Y108:Z108)</f>
        <v>37134</v>
      </c>
      <c r="AB108" s="68"/>
      <c r="AC108" s="68">
        <f>SUM(AA108:AB108)</f>
        <v>37134</v>
      </c>
      <c r="AD108" s="68">
        <v>-3534</v>
      </c>
      <c r="AE108" s="68">
        <f>SUM(AC108:AD108)</f>
        <v>33600</v>
      </c>
      <c r="AF108" s="68"/>
      <c r="AG108" s="68">
        <f>SUM(AE108:AF108)</f>
        <v>33600</v>
      </c>
    </row>
    <row r="109" spans="1:33" s="23" customFormat="1" ht="23.25" customHeight="1">
      <c r="A109" s="69"/>
      <c r="B109" s="70" t="s">
        <v>153</v>
      </c>
      <c r="C109" s="77"/>
      <c r="D109" s="74" t="s">
        <v>55</v>
      </c>
      <c r="E109" s="68">
        <f aca="true" t="shared" si="135" ref="E109:K109">SUM(E110:E111)</f>
        <v>551695</v>
      </c>
      <c r="F109" s="68">
        <f t="shared" si="135"/>
        <v>0</v>
      </c>
      <c r="G109" s="68">
        <f t="shared" si="135"/>
        <v>551695</v>
      </c>
      <c r="H109" s="68">
        <f t="shared" si="135"/>
        <v>0</v>
      </c>
      <c r="I109" s="68">
        <f t="shared" si="135"/>
        <v>551695</v>
      </c>
      <c r="J109" s="68">
        <f t="shared" si="135"/>
        <v>0</v>
      </c>
      <c r="K109" s="68">
        <f t="shared" si="135"/>
        <v>551695</v>
      </c>
      <c r="L109" s="68">
        <f aca="true" t="shared" si="136" ref="L109:Q109">SUM(L110:L111)</f>
        <v>0</v>
      </c>
      <c r="M109" s="68">
        <f t="shared" si="136"/>
        <v>551695</v>
      </c>
      <c r="N109" s="68">
        <f t="shared" si="136"/>
        <v>0</v>
      </c>
      <c r="O109" s="68">
        <f t="shared" si="136"/>
        <v>551695</v>
      </c>
      <c r="P109" s="68">
        <f t="shared" si="136"/>
        <v>0</v>
      </c>
      <c r="Q109" s="68">
        <f t="shared" si="136"/>
        <v>551695</v>
      </c>
      <c r="R109" s="68">
        <f aca="true" t="shared" si="137" ref="R109:W109">SUM(R110:R111)</f>
        <v>0</v>
      </c>
      <c r="S109" s="68">
        <f t="shared" si="137"/>
        <v>551695</v>
      </c>
      <c r="T109" s="68">
        <f t="shared" si="137"/>
        <v>0</v>
      </c>
      <c r="U109" s="68">
        <f t="shared" si="137"/>
        <v>551695</v>
      </c>
      <c r="V109" s="68">
        <f t="shared" si="137"/>
        <v>73405</v>
      </c>
      <c r="W109" s="68">
        <f t="shared" si="137"/>
        <v>625100</v>
      </c>
      <c r="X109" s="68">
        <f aca="true" t="shared" si="138" ref="X109:AC109">SUM(X110:X111)</f>
        <v>0</v>
      </c>
      <c r="Y109" s="68">
        <f t="shared" si="138"/>
        <v>625100</v>
      </c>
      <c r="Z109" s="68">
        <f t="shared" si="138"/>
        <v>118159</v>
      </c>
      <c r="AA109" s="68">
        <f t="shared" si="138"/>
        <v>743259</v>
      </c>
      <c r="AB109" s="68">
        <f t="shared" si="138"/>
        <v>0</v>
      </c>
      <c r="AC109" s="68">
        <f t="shared" si="138"/>
        <v>743259</v>
      </c>
      <c r="AD109" s="68">
        <f>SUM(AD110:AD111)</f>
        <v>17900</v>
      </c>
      <c r="AE109" s="68">
        <f>SUM(AE110:AE111)</f>
        <v>761159</v>
      </c>
      <c r="AF109" s="68">
        <f>SUM(AF110:AF111)</f>
        <v>216204</v>
      </c>
      <c r="AG109" s="68">
        <f>SUM(AG110:AG111)</f>
        <v>977363</v>
      </c>
    </row>
    <row r="110" spans="1:33" s="23" customFormat="1" ht="20.25" customHeight="1">
      <c r="A110" s="69"/>
      <c r="B110" s="70"/>
      <c r="C110" s="76" t="s">
        <v>190</v>
      </c>
      <c r="D110" s="74" t="s">
        <v>191</v>
      </c>
      <c r="E110" s="68">
        <v>12000</v>
      </c>
      <c r="F110" s="68"/>
      <c r="G110" s="68">
        <f>SUM(E110:F110)</f>
        <v>12000</v>
      </c>
      <c r="H110" s="68"/>
      <c r="I110" s="68">
        <f>SUM(G110:H110)</f>
        <v>12000</v>
      </c>
      <c r="J110" s="68"/>
      <c r="K110" s="68">
        <f>SUM(I110:J110)</f>
        <v>12000</v>
      </c>
      <c r="L110" s="68"/>
      <c r="M110" s="68">
        <f>SUM(K110:L110)</f>
        <v>12000</v>
      </c>
      <c r="N110" s="68"/>
      <c r="O110" s="68">
        <f>SUM(M110:N110)</f>
        <v>12000</v>
      </c>
      <c r="P110" s="68"/>
      <c r="Q110" s="68">
        <f>SUM(O110:P110)</f>
        <v>12000</v>
      </c>
      <c r="R110" s="68"/>
      <c r="S110" s="68">
        <f>SUM(Q110:R110)</f>
        <v>12000</v>
      </c>
      <c r="T110" s="68"/>
      <c r="U110" s="68">
        <f>SUM(S110:T110)</f>
        <v>12000</v>
      </c>
      <c r="V110" s="68"/>
      <c r="W110" s="68">
        <f>SUM(U110:V110)</f>
        <v>12000</v>
      </c>
      <c r="X110" s="68"/>
      <c r="Y110" s="68">
        <f>SUM(W110:X110)</f>
        <v>12000</v>
      </c>
      <c r="Z110" s="68"/>
      <c r="AA110" s="68">
        <f>SUM(Y110:Z110)</f>
        <v>12000</v>
      </c>
      <c r="AB110" s="68"/>
      <c r="AC110" s="68">
        <f>SUM(AA110:AB110)</f>
        <v>12000</v>
      </c>
      <c r="AD110" s="68">
        <v>17900</v>
      </c>
      <c r="AE110" s="68">
        <f>SUM(AC110:AD110)</f>
        <v>29900</v>
      </c>
      <c r="AF110" s="68"/>
      <c r="AG110" s="68">
        <f>SUM(AE110:AF110)</f>
        <v>29900</v>
      </c>
    </row>
    <row r="111" spans="1:33" s="23" customFormat="1" ht="33.75">
      <c r="A111" s="69"/>
      <c r="B111" s="70"/>
      <c r="C111" s="71">
        <v>2030</v>
      </c>
      <c r="D111" s="74" t="s">
        <v>211</v>
      </c>
      <c r="E111" s="68">
        <v>539695</v>
      </c>
      <c r="F111" s="68"/>
      <c r="G111" s="68">
        <f>SUM(E111:F111)</f>
        <v>539695</v>
      </c>
      <c r="H111" s="68"/>
      <c r="I111" s="68">
        <f>SUM(G111:H111)</f>
        <v>539695</v>
      </c>
      <c r="J111" s="68"/>
      <c r="K111" s="68">
        <f>SUM(I111:J111)</f>
        <v>539695</v>
      </c>
      <c r="L111" s="68"/>
      <c r="M111" s="68">
        <f>SUM(K111:L111)</f>
        <v>539695</v>
      </c>
      <c r="N111" s="68"/>
      <c r="O111" s="68">
        <f>SUM(M111:N111)</f>
        <v>539695</v>
      </c>
      <c r="P111" s="68"/>
      <c r="Q111" s="68">
        <f>SUM(O111:P111)</f>
        <v>539695</v>
      </c>
      <c r="R111" s="68"/>
      <c r="S111" s="68">
        <f>SUM(Q111:R111)</f>
        <v>539695</v>
      </c>
      <c r="T111" s="68"/>
      <c r="U111" s="68">
        <f>SUM(S111:T111)</f>
        <v>539695</v>
      </c>
      <c r="V111" s="68">
        <v>73405</v>
      </c>
      <c r="W111" s="68">
        <f>SUM(U111:V111)</f>
        <v>613100</v>
      </c>
      <c r="X111" s="68"/>
      <c r="Y111" s="68">
        <f>SUM(W111:X111)</f>
        <v>613100</v>
      </c>
      <c r="Z111" s="68">
        <v>118159</v>
      </c>
      <c r="AA111" s="68">
        <f>SUM(Y111:Z111)</f>
        <v>731259</v>
      </c>
      <c r="AB111" s="68"/>
      <c r="AC111" s="68">
        <f>SUM(AA111:AB111)</f>
        <v>731259</v>
      </c>
      <c r="AD111" s="68"/>
      <c r="AE111" s="68">
        <f>SUM(AC111:AD111)</f>
        <v>731259</v>
      </c>
      <c r="AF111" s="68">
        <f>92919+123285</f>
        <v>216204</v>
      </c>
      <c r="AG111" s="68">
        <f>SUM(AE111:AF111)</f>
        <v>947463</v>
      </c>
    </row>
    <row r="112" spans="1:33" s="23" customFormat="1" ht="19.5" customHeight="1">
      <c r="A112" s="69"/>
      <c r="B112" s="70">
        <v>85216</v>
      </c>
      <c r="C112" s="71"/>
      <c r="D112" s="74" t="s">
        <v>253</v>
      </c>
      <c r="E112" s="68">
        <f aca="true" t="shared" si="139" ref="E112:AG112">SUM(E113)</f>
        <v>449868</v>
      </c>
      <c r="F112" s="68">
        <f t="shared" si="139"/>
        <v>0</v>
      </c>
      <c r="G112" s="68">
        <f t="shared" si="139"/>
        <v>449868</v>
      </c>
      <c r="H112" s="68">
        <f t="shared" si="139"/>
        <v>0</v>
      </c>
      <c r="I112" s="68">
        <f t="shared" si="139"/>
        <v>449868</v>
      </c>
      <c r="J112" s="68">
        <f t="shared" si="139"/>
        <v>0</v>
      </c>
      <c r="K112" s="68">
        <f t="shared" si="139"/>
        <v>449868</v>
      </c>
      <c r="L112" s="68">
        <f t="shared" si="139"/>
        <v>0</v>
      </c>
      <c r="M112" s="68">
        <f t="shared" si="139"/>
        <v>449868</v>
      </c>
      <c r="N112" s="68">
        <f t="shared" si="139"/>
        <v>0</v>
      </c>
      <c r="O112" s="68">
        <f t="shared" si="139"/>
        <v>449868</v>
      </c>
      <c r="P112" s="68">
        <f t="shared" si="139"/>
        <v>0</v>
      </c>
      <c r="Q112" s="68">
        <f t="shared" si="139"/>
        <v>449868</v>
      </c>
      <c r="R112" s="68">
        <f t="shared" si="139"/>
        <v>0</v>
      </c>
      <c r="S112" s="68">
        <f t="shared" si="139"/>
        <v>449868</v>
      </c>
      <c r="T112" s="68">
        <f t="shared" si="139"/>
        <v>0</v>
      </c>
      <c r="U112" s="68">
        <f t="shared" si="139"/>
        <v>449868</v>
      </c>
      <c r="V112" s="68">
        <f t="shared" si="139"/>
        <v>11041</v>
      </c>
      <c r="W112" s="68">
        <f t="shared" si="139"/>
        <v>460909</v>
      </c>
      <c r="X112" s="68">
        <f t="shared" si="139"/>
        <v>0</v>
      </c>
      <c r="Y112" s="68">
        <f t="shared" si="139"/>
        <v>460909</v>
      </c>
      <c r="Z112" s="68">
        <f t="shared" si="139"/>
        <v>6248</v>
      </c>
      <c r="AA112" s="68">
        <f t="shared" si="139"/>
        <v>467157</v>
      </c>
      <c r="AB112" s="68">
        <f t="shared" si="139"/>
        <v>0</v>
      </c>
      <c r="AC112" s="68">
        <f t="shared" si="139"/>
        <v>467157</v>
      </c>
      <c r="AD112" s="68">
        <f t="shared" si="139"/>
        <v>10308</v>
      </c>
      <c r="AE112" s="68">
        <f t="shared" si="139"/>
        <v>477465</v>
      </c>
      <c r="AF112" s="68">
        <f t="shared" si="139"/>
        <v>0</v>
      </c>
      <c r="AG112" s="68">
        <f t="shared" si="139"/>
        <v>477465</v>
      </c>
    </row>
    <row r="113" spans="1:33" s="23" customFormat="1" ht="33.75">
      <c r="A113" s="69"/>
      <c r="B113" s="70"/>
      <c r="C113" s="71">
        <v>2030</v>
      </c>
      <c r="D113" s="74" t="s">
        <v>211</v>
      </c>
      <c r="E113" s="68">
        <v>449868</v>
      </c>
      <c r="F113" s="68"/>
      <c r="G113" s="68">
        <f>SUM(E113:F113)</f>
        <v>449868</v>
      </c>
      <c r="H113" s="68"/>
      <c r="I113" s="68">
        <f>SUM(G113:H113)</f>
        <v>449868</v>
      </c>
      <c r="J113" s="68"/>
      <c r="K113" s="68">
        <f>SUM(I113:J113)</f>
        <v>449868</v>
      </c>
      <c r="L113" s="68"/>
      <c r="M113" s="68">
        <f>SUM(K113:L113)</f>
        <v>449868</v>
      </c>
      <c r="N113" s="68"/>
      <c r="O113" s="68">
        <f>SUM(M113:N113)</f>
        <v>449868</v>
      </c>
      <c r="P113" s="68"/>
      <c r="Q113" s="68">
        <f>SUM(O113:P113)</f>
        <v>449868</v>
      </c>
      <c r="R113" s="68"/>
      <c r="S113" s="68">
        <f>SUM(Q113:R113)</f>
        <v>449868</v>
      </c>
      <c r="T113" s="68"/>
      <c r="U113" s="68">
        <f>SUM(S113:T113)</f>
        <v>449868</v>
      </c>
      <c r="V113" s="68">
        <v>11041</v>
      </c>
      <c r="W113" s="68">
        <f>SUM(U113:V113)</f>
        <v>460909</v>
      </c>
      <c r="X113" s="68"/>
      <c r="Y113" s="68">
        <f>SUM(W113:X113)</f>
        <v>460909</v>
      </c>
      <c r="Z113" s="68">
        <v>6248</v>
      </c>
      <c r="AA113" s="68">
        <f>SUM(Y113:Z113)</f>
        <v>467157</v>
      </c>
      <c r="AB113" s="68"/>
      <c r="AC113" s="68">
        <f>SUM(AA113:AB113)</f>
        <v>467157</v>
      </c>
      <c r="AD113" s="68">
        <v>10308</v>
      </c>
      <c r="AE113" s="68">
        <f>SUM(AC113:AD113)</f>
        <v>477465</v>
      </c>
      <c r="AF113" s="68"/>
      <c r="AG113" s="68">
        <f>SUM(AE113:AF113)</f>
        <v>477465</v>
      </c>
    </row>
    <row r="114" spans="1:33" s="23" customFormat="1" ht="20.25" customHeight="1">
      <c r="A114" s="69"/>
      <c r="B114" s="70" t="s">
        <v>154</v>
      </c>
      <c r="C114" s="77"/>
      <c r="D114" s="74" t="s">
        <v>57</v>
      </c>
      <c r="E114" s="68">
        <f aca="true" t="shared" si="140" ref="E114:K114">SUM(E115:E119)</f>
        <v>377449</v>
      </c>
      <c r="F114" s="68">
        <f t="shared" si="140"/>
        <v>0</v>
      </c>
      <c r="G114" s="68">
        <f t="shared" si="140"/>
        <v>377449</v>
      </c>
      <c r="H114" s="68">
        <f t="shared" si="140"/>
        <v>0</v>
      </c>
      <c r="I114" s="68">
        <f t="shared" si="140"/>
        <v>377449</v>
      </c>
      <c r="J114" s="68">
        <f t="shared" si="140"/>
        <v>5500</v>
      </c>
      <c r="K114" s="68">
        <f t="shared" si="140"/>
        <v>382949</v>
      </c>
      <c r="L114" s="68">
        <f aca="true" t="shared" si="141" ref="L114:Q114">SUM(L115:L119)</f>
        <v>0</v>
      </c>
      <c r="M114" s="68">
        <f t="shared" si="141"/>
        <v>382949</v>
      </c>
      <c r="N114" s="68">
        <f t="shared" si="141"/>
        <v>13351</v>
      </c>
      <c r="O114" s="68">
        <f t="shared" si="141"/>
        <v>396300</v>
      </c>
      <c r="P114" s="68">
        <f t="shared" si="141"/>
        <v>0</v>
      </c>
      <c r="Q114" s="68">
        <f t="shared" si="141"/>
        <v>396300</v>
      </c>
      <c r="R114" s="68">
        <f aca="true" t="shared" si="142" ref="R114:W114">SUM(R115:R119)</f>
        <v>0</v>
      </c>
      <c r="S114" s="68">
        <f t="shared" si="142"/>
        <v>396300</v>
      </c>
      <c r="T114" s="68">
        <f t="shared" si="142"/>
        <v>0</v>
      </c>
      <c r="U114" s="68">
        <f t="shared" si="142"/>
        <v>396300</v>
      </c>
      <c r="V114" s="68">
        <f t="shared" si="142"/>
        <v>0</v>
      </c>
      <c r="W114" s="68">
        <f t="shared" si="142"/>
        <v>396300</v>
      </c>
      <c r="X114" s="68">
        <f aca="true" t="shared" si="143" ref="X114:AC114">SUM(X115:X119)</f>
        <v>17765</v>
      </c>
      <c r="Y114" s="68">
        <f t="shared" si="143"/>
        <v>414065</v>
      </c>
      <c r="Z114" s="68">
        <f t="shared" si="143"/>
        <v>0</v>
      </c>
      <c r="AA114" s="68">
        <f t="shared" si="143"/>
        <v>414065</v>
      </c>
      <c r="AB114" s="68">
        <f t="shared" si="143"/>
        <v>0</v>
      </c>
      <c r="AC114" s="68">
        <f t="shared" si="143"/>
        <v>414065</v>
      </c>
      <c r="AD114" s="68">
        <f>SUM(AD115:AD119)</f>
        <v>6003</v>
      </c>
      <c r="AE114" s="68">
        <f>SUM(AE115:AE119)</f>
        <v>420068</v>
      </c>
      <c r="AF114" s="68">
        <f>SUM(AF115:AF119)</f>
        <v>0</v>
      </c>
      <c r="AG114" s="68">
        <f>SUM(AG115:AG119)</f>
        <v>420068</v>
      </c>
    </row>
    <row r="115" spans="1:33" s="23" customFormat="1" ht="67.5">
      <c r="A115" s="69"/>
      <c r="B115" s="70"/>
      <c r="C115" s="76" t="s">
        <v>159</v>
      </c>
      <c r="D115" s="37" t="s">
        <v>54</v>
      </c>
      <c r="E115" s="68">
        <v>2800</v>
      </c>
      <c r="F115" s="68"/>
      <c r="G115" s="68">
        <f>SUM(E115:F115)</f>
        <v>2800</v>
      </c>
      <c r="H115" s="68"/>
      <c r="I115" s="68">
        <f>SUM(G115:H115)</f>
        <v>2800</v>
      </c>
      <c r="J115" s="68"/>
      <c r="K115" s="68">
        <f>SUM(I115:J115)</f>
        <v>2800</v>
      </c>
      <c r="L115" s="68"/>
      <c r="M115" s="68">
        <f>SUM(K115:L115)</f>
        <v>2800</v>
      </c>
      <c r="N115" s="68"/>
      <c r="O115" s="68">
        <f>SUM(M115:N115)</f>
        <v>2800</v>
      </c>
      <c r="P115" s="68"/>
      <c r="Q115" s="68">
        <f>SUM(O115:P115)</f>
        <v>2800</v>
      </c>
      <c r="R115" s="68"/>
      <c r="S115" s="68">
        <f>SUM(Q115:R115)</f>
        <v>2800</v>
      </c>
      <c r="T115" s="68"/>
      <c r="U115" s="68">
        <f>SUM(S115:T115)</f>
        <v>2800</v>
      </c>
      <c r="V115" s="68"/>
      <c r="W115" s="68">
        <f>SUM(U115:V115)</f>
        <v>2800</v>
      </c>
      <c r="X115" s="68"/>
      <c r="Y115" s="68">
        <f>SUM(W115:X115)</f>
        <v>2800</v>
      </c>
      <c r="Z115" s="68"/>
      <c r="AA115" s="68">
        <f>SUM(Y115:Z115)</f>
        <v>2800</v>
      </c>
      <c r="AB115" s="68"/>
      <c r="AC115" s="68">
        <f>SUM(AA115:AB115)</f>
        <v>2800</v>
      </c>
      <c r="AD115" s="68">
        <v>1400</v>
      </c>
      <c r="AE115" s="68">
        <f>SUM(AC115:AD115)</f>
        <v>4200</v>
      </c>
      <c r="AF115" s="68"/>
      <c r="AG115" s="68">
        <f>SUM(AE115:AF115)</f>
        <v>4200</v>
      </c>
    </row>
    <row r="116" spans="1:33" s="23" customFormat="1" ht="20.25" customHeight="1">
      <c r="A116" s="69"/>
      <c r="B116" s="70"/>
      <c r="C116" s="76" t="s">
        <v>160</v>
      </c>
      <c r="D116" s="74" t="s">
        <v>11</v>
      </c>
      <c r="E116" s="68">
        <v>200</v>
      </c>
      <c r="F116" s="68"/>
      <c r="G116" s="68">
        <f>SUM(E116:F116)</f>
        <v>200</v>
      </c>
      <c r="H116" s="68"/>
      <c r="I116" s="68">
        <f>SUM(G116:H116)</f>
        <v>200</v>
      </c>
      <c r="J116" s="68"/>
      <c r="K116" s="68">
        <f>SUM(I116:J116)</f>
        <v>200</v>
      </c>
      <c r="L116" s="68"/>
      <c r="M116" s="68">
        <f>SUM(K116:L116)</f>
        <v>200</v>
      </c>
      <c r="N116" s="68"/>
      <c r="O116" s="68">
        <f>SUM(M116:N116)</f>
        <v>200</v>
      </c>
      <c r="P116" s="68"/>
      <c r="Q116" s="68">
        <f>SUM(O116:P116)</f>
        <v>200</v>
      </c>
      <c r="R116" s="68"/>
      <c r="S116" s="68">
        <f>SUM(Q116:R116)</f>
        <v>200</v>
      </c>
      <c r="T116" s="68"/>
      <c r="U116" s="68">
        <f>SUM(S116:T116)</f>
        <v>200</v>
      </c>
      <c r="V116" s="68"/>
      <c r="W116" s="68">
        <f>SUM(U116:V116)</f>
        <v>200</v>
      </c>
      <c r="X116" s="68"/>
      <c r="Y116" s="68">
        <f>SUM(W116:X116)</f>
        <v>200</v>
      </c>
      <c r="Z116" s="68"/>
      <c r="AA116" s="68">
        <f>SUM(Y116:Z116)</f>
        <v>200</v>
      </c>
      <c r="AB116" s="68"/>
      <c r="AC116" s="68">
        <f>SUM(AA116:AB116)</f>
        <v>200</v>
      </c>
      <c r="AD116" s="68">
        <v>100</v>
      </c>
      <c r="AE116" s="68">
        <f>SUM(AC116:AD116)</f>
        <v>300</v>
      </c>
      <c r="AF116" s="68"/>
      <c r="AG116" s="68">
        <f>SUM(AE116:AF116)</f>
        <v>300</v>
      </c>
    </row>
    <row r="117" spans="1:33" s="23" customFormat="1" ht="21" customHeight="1">
      <c r="A117" s="69"/>
      <c r="B117" s="70"/>
      <c r="C117" s="76" t="s">
        <v>161</v>
      </c>
      <c r="D117" s="37" t="s">
        <v>12</v>
      </c>
      <c r="E117" s="68">
        <v>150</v>
      </c>
      <c r="F117" s="68"/>
      <c r="G117" s="68">
        <f>SUM(E117:F117)</f>
        <v>150</v>
      </c>
      <c r="H117" s="68"/>
      <c r="I117" s="68">
        <f>SUM(G117:H117)</f>
        <v>150</v>
      </c>
      <c r="J117" s="68"/>
      <c r="K117" s="68">
        <f>SUM(I117:J117)</f>
        <v>150</v>
      </c>
      <c r="L117" s="68"/>
      <c r="M117" s="68">
        <f>SUM(K117:L117)</f>
        <v>150</v>
      </c>
      <c r="N117" s="68"/>
      <c r="O117" s="68">
        <f>SUM(M117:N117)</f>
        <v>150</v>
      </c>
      <c r="P117" s="68"/>
      <c r="Q117" s="68">
        <f>SUM(O117:P117)</f>
        <v>150</v>
      </c>
      <c r="R117" s="68"/>
      <c r="S117" s="68">
        <f>SUM(Q117:R117)</f>
        <v>150</v>
      </c>
      <c r="T117" s="68"/>
      <c r="U117" s="68">
        <f>SUM(S117:T117)</f>
        <v>150</v>
      </c>
      <c r="V117" s="68"/>
      <c r="W117" s="68">
        <f>SUM(U117:V117)</f>
        <v>150</v>
      </c>
      <c r="X117" s="68"/>
      <c r="Y117" s="68">
        <f>SUM(W117:X117)</f>
        <v>150</v>
      </c>
      <c r="Z117" s="68"/>
      <c r="AA117" s="68">
        <f>SUM(Y117:Z117)</f>
        <v>150</v>
      </c>
      <c r="AB117" s="68"/>
      <c r="AC117" s="68">
        <f>SUM(AA117:AB117)</f>
        <v>150</v>
      </c>
      <c r="AD117" s="68">
        <v>20</v>
      </c>
      <c r="AE117" s="68">
        <f>SUM(AC117:AD117)</f>
        <v>170</v>
      </c>
      <c r="AF117" s="68"/>
      <c r="AG117" s="68">
        <f>SUM(AE117:AF117)</f>
        <v>170</v>
      </c>
    </row>
    <row r="118" spans="1:33" s="23" customFormat="1" ht="56.25">
      <c r="A118" s="69"/>
      <c r="B118" s="70"/>
      <c r="C118" s="76">
        <v>2010</v>
      </c>
      <c r="D118" s="74" t="s">
        <v>210</v>
      </c>
      <c r="E118" s="68"/>
      <c r="F118" s="68"/>
      <c r="G118" s="68"/>
      <c r="H118" s="68"/>
      <c r="I118" s="68">
        <v>0</v>
      </c>
      <c r="J118" s="68">
        <v>5500</v>
      </c>
      <c r="K118" s="68">
        <f>SUM(I118:J118)</f>
        <v>5500</v>
      </c>
      <c r="L118" s="68"/>
      <c r="M118" s="68">
        <f>SUM(K118:L118)</f>
        <v>5500</v>
      </c>
      <c r="N118" s="68"/>
      <c r="O118" s="68">
        <f>SUM(M118:N118)</f>
        <v>5500</v>
      </c>
      <c r="P118" s="68"/>
      <c r="Q118" s="68">
        <f>SUM(O118:P118)</f>
        <v>5500</v>
      </c>
      <c r="R118" s="68"/>
      <c r="S118" s="68">
        <f>SUM(Q118:R118)</f>
        <v>5500</v>
      </c>
      <c r="T118" s="68"/>
      <c r="U118" s="68">
        <f>SUM(S118:T118)</f>
        <v>5500</v>
      </c>
      <c r="V118" s="68"/>
      <c r="W118" s="68">
        <f>SUM(U118:V118)</f>
        <v>5500</v>
      </c>
      <c r="X118" s="68">
        <v>4000</v>
      </c>
      <c r="Y118" s="68">
        <f>SUM(W118:X118)</f>
        <v>9500</v>
      </c>
      <c r="Z118" s="68"/>
      <c r="AA118" s="68">
        <f>SUM(Y118:Z118)</f>
        <v>9500</v>
      </c>
      <c r="AB118" s="68"/>
      <c r="AC118" s="68">
        <f>SUM(AA118:AB118)</f>
        <v>9500</v>
      </c>
      <c r="AD118" s="68">
        <v>4483</v>
      </c>
      <c r="AE118" s="68">
        <f>SUM(AC118:AD118)</f>
        <v>13983</v>
      </c>
      <c r="AF118" s="68"/>
      <c r="AG118" s="68">
        <f>SUM(AE118:AF118)</f>
        <v>13983</v>
      </c>
    </row>
    <row r="119" spans="1:33" s="23" customFormat="1" ht="33.75">
      <c r="A119" s="69"/>
      <c r="B119" s="70"/>
      <c r="C119" s="71">
        <v>2030</v>
      </c>
      <c r="D119" s="74" t="s">
        <v>211</v>
      </c>
      <c r="E119" s="68">
        <v>374299</v>
      </c>
      <c r="F119" s="68"/>
      <c r="G119" s="68">
        <f>SUM(E119:F119)</f>
        <v>374299</v>
      </c>
      <c r="H119" s="68"/>
      <c r="I119" s="68">
        <f>SUM(G119:H119)</f>
        <v>374299</v>
      </c>
      <c r="J119" s="68"/>
      <c r="K119" s="68">
        <f>SUM(I119:J119)</f>
        <v>374299</v>
      </c>
      <c r="L119" s="68"/>
      <c r="M119" s="68">
        <f>SUM(K119:L119)</f>
        <v>374299</v>
      </c>
      <c r="N119" s="68">
        <v>13351</v>
      </c>
      <c r="O119" s="68">
        <f>SUM(M119:N119)</f>
        <v>387650</v>
      </c>
      <c r="P119" s="68"/>
      <c r="Q119" s="68">
        <f>SUM(O119:P119)</f>
        <v>387650</v>
      </c>
      <c r="R119" s="68"/>
      <c r="S119" s="68">
        <f>SUM(Q119:R119)</f>
        <v>387650</v>
      </c>
      <c r="T119" s="68"/>
      <c r="U119" s="68">
        <f>SUM(S119:T119)</f>
        <v>387650</v>
      </c>
      <c r="V119" s="68"/>
      <c r="W119" s="68">
        <f>SUM(U119:V119)</f>
        <v>387650</v>
      </c>
      <c r="X119" s="68">
        <v>13765</v>
      </c>
      <c r="Y119" s="68">
        <f>SUM(W119:X119)</f>
        <v>401415</v>
      </c>
      <c r="Z119" s="68"/>
      <c r="AA119" s="68">
        <f>SUM(Y119:Z119)</f>
        <v>401415</v>
      </c>
      <c r="AB119" s="68"/>
      <c r="AC119" s="68">
        <f>SUM(AA119:AB119)</f>
        <v>401415</v>
      </c>
      <c r="AD119" s="68"/>
      <c r="AE119" s="68">
        <f>SUM(AC119:AD119)</f>
        <v>401415</v>
      </c>
      <c r="AF119" s="68"/>
      <c r="AG119" s="68">
        <f>SUM(AE119:AF119)</f>
        <v>401415</v>
      </c>
    </row>
    <row r="120" spans="1:33" s="23" customFormat="1" ht="26.25" customHeight="1">
      <c r="A120" s="69"/>
      <c r="B120" s="70">
        <v>85295</v>
      </c>
      <c r="C120" s="71"/>
      <c r="D120" s="74" t="s">
        <v>199</v>
      </c>
      <c r="E120" s="68">
        <f aca="true" t="shared" si="144" ref="E120:K120">SUM(E121:E122)</f>
        <v>356895</v>
      </c>
      <c r="F120" s="68">
        <f t="shared" si="144"/>
        <v>530000</v>
      </c>
      <c r="G120" s="68">
        <f t="shared" si="144"/>
        <v>886895</v>
      </c>
      <c r="H120" s="68">
        <f t="shared" si="144"/>
        <v>0</v>
      </c>
      <c r="I120" s="68">
        <f t="shared" si="144"/>
        <v>886895</v>
      </c>
      <c r="J120" s="68">
        <f t="shared" si="144"/>
        <v>0</v>
      </c>
      <c r="K120" s="68">
        <f t="shared" si="144"/>
        <v>886895</v>
      </c>
      <c r="L120" s="68">
        <f aca="true" t="shared" si="145" ref="L120:Q120">SUM(L121:L122)</f>
        <v>0</v>
      </c>
      <c r="M120" s="68">
        <f t="shared" si="145"/>
        <v>886895</v>
      </c>
      <c r="N120" s="68">
        <f t="shared" si="145"/>
        <v>69400</v>
      </c>
      <c r="O120" s="68">
        <f t="shared" si="145"/>
        <v>956295</v>
      </c>
      <c r="P120" s="68">
        <f t="shared" si="145"/>
        <v>0</v>
      </c>
      <c r="Q120" s="68">
        <f t="shared" si="145"/>
        <v>956295</v>
      </c>
      <c r="R120" s="68">
        <f aca="true" t="shared" si="146" ref="R120:W120">SUM(R121:R122)</f>
        <v>0</v>
      </c>
      <c r="S120" s="68">
        <f t="shared" si="146"/>
        <v>956295</v>
      </c>
      <c r="T120" s="68">
        <f t="shared" si="146"/>
        <v>0</v>
      </c>
      <c r="U120" s="68">
        <f t="shared" si="146"/>
        <v>956295</v>
      </c>
      <c r="V120" s="68">
        <f t="shared" si="146"/>
        <v>0</v>
      </c>
      <c r="W120" s="68">
        <f t="shared" si="146"/>
        <v>956295</v>
      </c>
      <c r="X120" s="68">
        <f aca="true" t="shared" si="147" ref="X120:AC120">SUM(X121:X122)</f>
        <v>0</v>
      </c>
      <c r="Y120" s="68">
        <f t="shared" si="147"/>
        <v>956295</v>
      </c>
      <c r="Z120" s="68">
        <f t="shared" si="147"/>
        <v>334381</v>
      </c>
      <c r="AA120" s="68">
        <f t="shared" si="147"/>
        <v>1290676</v>
      </c>
      <c r="AB120" s="68">
        <f t="shared" si="147"/>
        <v>0</v>
      </c>
      <c r="AC120" s="68">
        <f t="shared" si="147"/>
        <v>1290676</v>
      </c>
      <c r="AD120" s="68">
        <f>SUM(AD121:AD122)</f>
        <v>104838</v>
      </c>
      <c r="AE120" s="68">
        <f>SUM(AE121:AE122)</f>
        <v>1395514</v>
      </c>
      <c r="AF120" s="68">
        <f>SUM(AF121:AF122)</f>
        <v>0</v>
      </c>
      <c r="AG120" s="68">
        <f>SUM(AG121:AG122)</f>
        <v>1395514</v>
      </c>
    </row>
    <row r="121" spans="1:33" s="23" customFormat="1" ht="26.25" customHeight="1">
      <c r="A121" s="69"/>
      <c r="B121" s="70"/>
      <c r="C121" s="76" t="s">
        <v>190</v>
      </c>
      <c r="D121" s="74" t="s">
        <v>191</v>
      </c>
      <c r="E121" s="68">
        <v>356895</v>
      </c>
      <c r="F121" s="68"/>
      <c r="G121" s="68">
        <f>SUM(E121:F121)</f>
        <v>356895</v>
      </c>
      <c r="H121" s="68"/>
      <c r="I121" s="68">
        <f>SUM(G121:H121)</f>
        <v>356895</v>
      </c>
      <c r="J121" s="68"/>
      <c r="K121" s="68">
        <f>SUM(I121:J121)</f>
        <v>356895</v>
      </c>
      <c r="L121" s="68"/>
      <c r="M121" s="68">
        <f>SUM(K121:L121)</f>
        <v>356895</v>
      </c>
      <c r="N121" s="68"/>
      <c r="O121" s="68">
        <f>SUM(M121:N121)</f>
        <v>356895</v>
      </c>
      <c r="P121" s="68"/>
      <c r="Q121" s="68">
        <f>SUM(O121:P121)</f>
        <v>356895</v>
      </c>
      <c r="R121" s="68"/>
      <c r="S121" s="68">
        <f>SUM(Q121:R121)</f>
        <v>356895</v>
      </c>
      <c r="T121" s="68"/>
      <c r="U121" s="68">
        <f>SUM(S121:T121)</f>
        <v>356895</v>
      </c>
      <c r="V121" s="68"/>
      <c r="W121" s="68">
        <f>SUM(U121:V121)</f>
        <v>356895</v>
      </c>
      <c r="X121" s="68"/>
      <c r="Y121" s="68">
        <f>SUM(W121:X121)</f>
        <v>356895</v>
      </c>
      <c r="Z121" s="68"/>
      <c r="AA121" s="68">
        <f>SUM(Y121:Z121)</f>
        <v>356895</v>
      </c>
      <c r="AB121" s="68"/>
      <c r="AC121" s="68">
        <f>SUM(AA121:AB121)</f>
        <v>356895</v>
      </c>
      <c r="AD121" s="68"/>
      <c r="AE121" s="68">
        <f>SUM(AC121:AD121)</f>
        <v>356895</v>
      </c>
      <c r="AF121" s="68"/>
      <c r="AG121" s="68">
        <f>SUM(AE121:AF121)</f>
        <v>356895</v>
      </c>
    </row>
    <row r="122" spans="1:33" s="23" customFormat="1" ht="39.75" customHeight="1">
      <c r="A122" s="69"/>
      <c r="B122" s="70"/>
      <c r="C122" s="76">
        <v>2030</v>
      </c>
      <c r="D122" s="74" t="s">
        <v>211</v>
      </c>
      <c r="E122" s="68">
        <v>0</v>
      </c>
      <c r="F122" s="68">
        <v>530000</v>
      </c>
      <c r="G122" s="68">
        <f>SUM(E122:F122)</f>
        <v>530000</v>
      </c>
      <c r="H122" s="68"/>
      <c r="I122" s="68">
        <f>SUM(G122:H122)</f>
        <v>530000</v>
      </c>
      <c r="J122" s="68"/>
      <c r="K122" s="68">
        <f>SUM(I122:J122)</f>
        <v>530000</v>
      </c>
      <c r="L122" s="68"/>
      <c r="M122" s="68">
        <f>SUM(K122:L122)</f>
        <v>530000</v>
      </c>
      <c r="N122" s="68">
        <v>69400</v>
      </c>
      <c r="O122" s="68">
        <f>SUM(M122:N122)</f>
        <v>599400</v>
      </c>
      <c r="P122" s="68"/>
      <c r="Q122" s="68">
        <f>SUM(O122:P122)</f>
        <v>599400</v>
      </c>
      <c r="R122" s="68"/>
      <c r="S122" s="68">
        <f>SUM(Q122:R122)</f>
        <v>599400</v>
      </c>
      <c r="T122" s="68"/>
      <c r="U122" s="68">
        <f>SUM(S122:T122)</f>
        <v>599400</v>
      </c>
      <c r="V122" s="68"/>
      <c r="W122" s="68">
        <f>SUM(U122:V122)</f>
        <v>599400</v>
      </c>
      <c r="X122" s="68"/>
      <c r="Y122" s="68">
        <f>SUM(W122:X122)</f>
        <v>599400</v>
      </c>
      <c r="Z122" s="68">
        <v>334381</v>
      </c>
      <c r="AA122" s="68">
        <f>SUM(Y122:Z122)</f>
        <v>933781</v>
      </c>
      <c r="AB122" s="68"/>
      <c r="AC122" s="68">
        <f>SUM(AA122:AB122)</f>
        <v>933781</v>
      </c>
      <c r="AD122" s="68">
        <v>104838</v>
      </c>
      <c r="AE122" s="68">
        <f>SUM(AC122:AD122)</f>
        <v>1038619</v>
      </c>
      <c r="AF122" s="68"/>
      <c r="AG122" s="68">
        <f>SUM(AE122:AF122)</f>
        <v>1038619</v>
      </c>
    </row>
    <row r="123" spans="1:33" s="148" customFormat="1" ht="27" customHeight="1">
      <c r="A123" s="157">
        <v>853</v>
      </c>
      <c r="B123" s="177"/>
      <c r="C123" s="229"/>
      <c r="D123" s="230" t="s">
        <v>242</v>
      </c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>
        <f aca="true" t="shared" si="148" ref="AA123:AG123">SUM(AA124)</f>
        <v>0</v>
      </c>
      <c r="AB123" s="178">
        <f t="shared" si="148"/>
        <v>347051</v>
      </c>
      <c r="AC123" s="178">
        <f t="shared" si="148"/>
        <v>347051</v>
      </c>
      <c r="AD123" s="178">
        <f t="shared" si="148"/>
        <v>0</v>
      </c>
      <c r="AE123" s="178">
        <f t="shared" si="148"/>
        <v>347051</v>
      </c>
      <c r="AF123" s="178">
        <f t="shared" si="148"/>
        <v>0</v>
      </c>
      <c r="AG123" s="178">
        <f t="shared" si="148"/>
        <v>347051</v>
      </c>
    </row>
    <row r="124" spans="1:33" s="23" customFormat="1" ht="24" customHeight="1">
      <c r="A124" s="69"/>
      <c r="B124" s="70">
        <v>85395</v>
      </c>
      <c r="C124" s="76"/>
      <c r="D124" s="74" t="s">
        <v>6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>
        <f aca="true" t="shared" si="149" ref="AA124:AG124">SUM(AA125:AA126)</f>
        <v>0</v>
      </c>
      <c r="AB124" s="68">
        <f t="shared" si="149"/>
        <v>347051</v>
      </c>
      <c r="AC124" s="68">
        <f t="shared" si="149"/>
        <v>347051</v>
      </c>
      <c r="AD124" s="68">
        <f t="shared" si="149"/>
        <v>0</v>
      </c>
      <c r="AE124" s="68">
        <f t="shared" si="149"/>
        <v>347051</v>
      </c>
      <c r="AF124" s="68">
        <f t="shared" si="149"/>
        <v>0</v>
      </c>
      <c r="AG124" s="68">
        <f t="shared" si="149"/>
        <v>347051</v>
      </c>
    </row>
    <row r="125" spans="1:33" s="23" customFormat="1" ht="56.25">
      <c r="A125" s="69"/>
      <c r="B125" s="70"/>
      <c r="C125" s="76">
        <v>2707</v>
      </c>
      <c r="D125" s="74" t="s">
        <v>450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>
        <v>0</v>
      </c>
      <c r="AB125" s="68">
        <v>329601</v>
      </c>
      <c r="AC125" s="68">
        <f>SUM(AA125:AB125)</f>
        <v>329601</v>
      </c>
      <c r="AD125" s="68"/>
      <c r="AE125" s="68">
        <f>SUM(AC125:AD125)</f>
        <v>329601</v>
      </c>
      <c r="AF125" s="68"/>
      <c r="AG125" s="68">
        <f>SUM(AE125:AF125)</f>
        <v>329601</v>
      </c>
    </row>
    <row r="126" spans="1:33" s="23" customFormat="1" ht="56.25">
      <c r="A126" s="69"/>
      <c r="B126" s="70"/>
      <c r="C126" s="76">
        <v>2709</v>
      </c>
      <c r="D126" s="74" t="s">
        <v>450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>
        <v>0</v>
      </c>
      <c r="AB126" s="68">
        <v>17450</v>
      </c>
      <c r="AC126" s="68">
        <f>SUM(AA126:AB126)</f>
        <v>17450</v>
      </c>
      <c r="AD126" s="68"/>
      <c r="AE126" s="68">
        <f>SUM(AC126:AD126)</f>
        <v>17450</v>
      </c>
      <c r="AF126" s="68"/>
      <c r="AG126" s="68">
        <f>SUM(AE126:AF126)</f>
        <v>17450</v>
      </c>
    </row>
    <row r="127" spans="1:33" s="155" customFormat="1" ht="24" customHeight="1">
      <c r="A127" s="197">
        <v>854</v>
      </c>
      <c r="B127" s="198"/>
      <c r="C127" s="199"/>
      <c r="D127" s="200" t="s">
        <v>58</v>
      </c>
      <c r="E127" s="201"/>
      <c r="F127" s="201"/>
      <c r="G127" s="201"/>
      <c r="H127" s="201"/>
      <c r="I127" s="201"/>
      <c r="J127" s="201"/>
      <c r="K127" s="201">
        <f aca="true" t="shared" si="150" ref="K127:AF128">SUM(K128)</f>
        <v>0</v>
      </c>
      <c r="L127" s="201">
        <f t="shared" si="150"/>
        <v>279792</v>
      </c>
      <c r="M127" s="201">
        <f t="shared" si="150"/>
        <v>279792</v>
      </c>
      <c r="N127" s="201">
        <f t="shared" si="150"/>
        <v>0</v>
      </c>
      <c r="O127" s="201">
        <f t="shared" si="150"/>
        <v>279792</v>
      </c>
      <c r="P127" s="201">
        <f t="shared" si="150"/>
        <v>0</v>
      </c>
      <c r="Q127" s="201">
        <f t="shared" si="150"/>
        <v>279792</v>
      </c>
      <c r="R127" s="201">
        <f t="shared" si="150"/>
        <v>0</v>
      </c>
      <c r="S127" s="201">
        <f t="shared" si="150"/>
        <v>279792</v>
      </c>
      <c r="T127" s="201">
        <f t="shared" si="150"/>
        <v>0</v>
      </c>
      <c r="U127" s="201">
        <f t="shared" si="150"/>
        <v>279792</v>
      </c>
      <c r="V127" s="201">
        <f t="shared" si="150"/>
        <v>0</v>
      </c>
      <c r="W127" s="201">
        <f t="shared" si="150"/>
        <v>279792</v>
      </c>
      <c r="X127" s="201">
        <f t="shared" si="150"/>
        <v>60600</v>
      </c>
      <c r="Y127" s="201">
        <f t="shared" si="150"/>
        <v>340392</v>
      </c>
      <c r="Z127" s="201">
        <f t="shared" si="150"/>
        <v>0</v>
      </c>
      <c r="AA127" s="201">
        <f>SUM(AA128)</f>
        <v>340392</v>
      </c>
      <c r="AB127" s="201">
        <f t="shared" si="150"/>
        <v>0</v>
      </c>
      <c r="AC127" s="201">
        <f>SUM(AC128)</f>
        <v>340392</v>
      </c>
      <c r="AD127" s="201">
        <f t="shared" si="150"/>
        <v>158523</v>
      </c>
      <c r="AE127" s="201">
        <f>SUM(AE128)</f>
        <v>498915</v>
      </c>
      <c r="AF127" s="201">
        <f t="shared" si="150"/>
        <v>0</v>
      </c>
      <c r="AG127" s="201">
        <f>SUM(AG128)</f>
        <v>498915</v>
      </c>
    </row>
    <row r="128" spans="1:33" s="23" customFormat="1" ht="21.75" customHeight="1">
      <c r="A128" s="69"/>
      <c r="B128" s="70">
        <v>85415</v>
      </c>
      <c r="C128" s="76"/>
      <c r="D128" s="74" t="s">
        <v>364</v>
      </c>
      <c r="E128" s="68"/>
      <c r="F128" s="68"/>
      <c r="G128" s="68"/>
      <c r="H128" s="68"/>
      <c r="I128" s="68"/>
      <c r="J128" s="68"/>
      <c r="K128" s="68">
        <f t="shared" si="150"/>
        <v>0</v>
      </c>
      <c r="L128" s="68">
        <f t="shared" si="150"/>
        <v>279792</v>
      </c>
      <c r="M128" s="68">
        <f t="shared" si="150"/>
        <v>279792</v>
      </c>
      <c r="N128" s="68">
        <f t="shared" si="150"/>
        <v>0</v>
      </c>
      <c r="O128" s="68">
        <f t="shared" si="150"/>
        <v>279792</v>
      </c>
      <c r="P128" s="68">
        <f t="shared" si="150"/>
        <v>0</v>
      </c>
      <c r="Q128" s="68">
        <f t="shared" si="150"/>
        <v>279792</v>
      </c>
      <c r="R128" s="68">
        <f t="shared" si="150"/>
        <v>0</v>
      </c>
      <c r="S128" s="68">
        <f t="shared" si="150"/>
        <v>279792</v>
      </c>
      <c r="T128" s="68">
        <f t="shared" si="150"/>
        <v>0</v>
      </c>
      <c r="U128" s="68">
        <f t="shared" si="150"/>
        <v>279792</v>
      </c>
      <c r="V128" s="68">
        <f t="shared" si="150"/>
        <v>0</v>
      </c>
      <c r="W128" s="68">
        <f t="shared" si="150"/>
        <v>279792</v>
      </c>
      <c r="X128" s="68">
        <f t="shared" si="150"/>
        <v>60600</v>
      </c>
      <c r="Y128" s="68">
        <f t="shared" si="150"/>
        <v>340392</v>
      </c>
      <c r="Z128" s="68">
        <f>SUM(Z129)</f>
        <v>0</v>
      </c>
      <c r="AA128" s="68">
        <f>SUM(AA129)</f>
        <v>340392</v>
      </c>
      <c r="AB128" s="68">
        <f>SUM(AB129)</f>
        <v>0</v>
      </c>
      <c r="AC128" s="68">
        <f>SUM(AC129)</f>
        <v>340392</v>
      </c>
      <c r="AD128" s="68">
        <f>SUM(AD129)</f>
        <v>158523</v>
      </c>
      <c r="AE128" s="68">
        <f>SUM(AE129)</f>
        <v>498915</v>
      </c>
      <c r="AF128" s="68">
        <f>SUM(AF129)</f>
        <v>0</v>
      </c>
      <c r="AG128" s="68">
        <f>SUM(AG129)</f>
        <v>498915</v>
      </c>
    </row>
    <row r="129" spans="1:33" s="23" customFormat="1" ht="33.75">
      <c r="A129" s="69"/>
      <c r="B129" s="70"/>
      <c r="C129" s="76">
        <v>2030</v>
      </c>
      <c r="D129" s="74" t="s">
        <v>211</v>
      </c>
      <c r="E129" s="68"/>
      <c r="F129" s="68"/>
      <c r="G129" s="68"/>
      <c r="H129" s="68"/>
      <c r="I129" s="68"/>
      <c r="J129" s="68"/>
      <c r="K129" s="68">
        <v>0</v>
      </c>
      <c r="L129" s="68">
        <v>279792</v>
      </c>
      <c r="M129" s="68">
        <f>SUM(K129:L129)</f>
        <v>279792</v>
      </c>
      <c r="N129" s="68"/>
      <c r="O129" s="68">
        <f>SUM(M129:N129)</f>
        <v>279792</v>
      </c>
      <c r="P129" s="68"/>
      <c r="Q129" s="68">
        <f>SUM(O129:P129)</f>
        <v>279792</v>
      </c>
      <c r="R129" s="68"/>
      <c r="S129" s="68">
        <f>SUM(Q129:R129)</f>
        <v>279792</v>
      </c>
      <c r="T129" s="68"/>
      <c r="U129" s="68">
        <f>SUM(S129:T129)</f>
        <v>279792</v>
      </c>
      <c r="V129" s="68"/>
      <c r="W129" s="68">
        <f>SUM(U129:V129)</f>
        <v>279792</v>
      </c>
      <c r="X129" s="68">
        <v>60600</v>
      </c>
      <c r="Y129" s="68">
        <f>SUM(W129:X129)</f>
        <v>340392</v>
      </c>
      <c r="Z129" s="68"/>
      <c r="AA129" s="68">
        <f>SUM(Y129:Z129)</f>
        <v>340392</v>
      </c>
      <c r="AB129" s="68"/>
      <c r="AC129" s="68">
        <f>SUM(AA129:AB129)</f>
        <v>340392</v>
      </c>
      <c r="AD129" s="68">
        <v>158523</v>
      </c>
      <c r="AE129" s="68">
        <f>SUM(AC129:AD129)</f>
        <v>498915</v>
      </c>
      <c r="AF129" s="68"/>
      <c r="AG129" s="68">
        <f>SUM(AE129:AF129)</f>
        <v>498915</v>
      </c>
    </row>
    <row r="130" spans="1:33" s="6" customFormat="1" ht="24" customHeight="1">
      <c r="A130" s="28">
        <v>900</v>
      </c>
      <c r="B130" s="30"/>
      <c r="C130" s="31"/>
      <c r="D130" s="29" t="s">
        <v>60</v>
      </c>
      <c r="E130" s="55">
        <f>SUM(E135,E131)</f>
        <v>16000</v>
      </c>
      <c r="F130" s="55">
        <f>SUM(F135,F131)</f>
        <v>0</v>
      </c>
      <c r="G130" s="55">
        <f>SUM(G135,G131)</f>
        <v>16000</v>
      </c>
      <c r="H130" s="55">
        <f>SUM(H135,H131)</f>
        <v>0</v>
      </c>
      <c r="I130" s="55">
        <f aca="true" t="shared" si="151" ref="I130:X130">SUM(I135,I131,I133)</f>
        <v>16000</v>
      </c>
      <c r="J130" s="55">
        <f t="shared" si="151"/>
        <v>200000</v>
      </c>
      <c r="K130" s="55">
        <f t="shared" si="151"/>
        <v>216000</v>
      </c>
      <c r="L130" s="55">
        <f t="shared" si="151"/>
        <v>0</v>
      </c>
      <c r="M130" s="55">
        <f t="shared" si="151"/>
        <v>216000</v>
      </c>
      <c r="N130" s="55">
        <f t="shared" si="151"/>
        <v>0</v>
      </c>
      <c r="O130" s="55">
        <f t="shared" si="151"/>
        <v>216000</v>
      </c>
      <c r="P130" s="55">
        <f t="shared" si="151"/>
        <v>0</v>
      </c>
      <c r="Q130" s="55">
        <f t="shared" si="151"/>
        <v>216000</v>
      </c>
      <c r="R130" s="55">
        <f t="shared" si="151"/>
        <v>0</v>
      </c>
      <c r="S130" s="55">
        <f t="shared" si="151"/>
        <v>216000</v>
      </c>
      <c r="T130" s="55">
        <f t="shared" si="151"/>
        <v>0</v>
      </c>
      <c r="U130" s="55">
        <f t="shared" si="151"/>
        <v>216000</v>
      </c>
      <c r="V130" s="55">
        <f t="shared" si="151"/>
        <v>0</v>
      </c>
      <c r="W130" s="55">
        <f t="shared" si="151"/>
        <v>216000</v>
      </c>
      <c r="X130" s="55">
        <f t="shared" si="151"/>
        <v>0</v>
      </c>
      <c r="Y130" s="55">
        <f aca="true" t="shared" si="152" ref="Y130:AE130">SUM(Y135,Y131,Y133,)</f>
        <v>216000</v>
      </c>
      <c r="Z130" s="55">
        <f t="shared" si="152"/>
        <v>150000</v>
      </c>
      <c r="AA130" s="55">
        <f t="shared" si="152"/>
        <v>366000</v>
      </c>
      <c r="AB130" s="55">
        <f t="shared" si="152"/>
        <v>0</v>
      </c>
      <c r="AC130" s="55">
        <f t="shared" si="152"/>
        <v>366000</v>
      </c>
      <c r="AD130" s="55">
        <f t="shared" si="152"/>
        <v>0</v>
      </c>
      <c r="AE130" s="55">
        <f t="shared" si="152"/>
        <v>366000</v>
      </c>
      <c r="AF130" s="55">
        <f>SUM(AF135,AF131,AF133,)</f>
        <v>0</v>
      </c>
      <c r="AG130" s="55">
        <f>SUM(AG135,AG131,AG133,)</f>
        <v>366000</v>
      </c>
    </row>
    <row r="131" spans="1:33" s="122" customFormat="1" ht="19.5" customHeight="1">
      <c r="A131" s="123"/>
      <c r="B131" s="124">
        <v>90001</v>
      </c>
      <c r="C131" s="125"/>
      <c r="D131" s="37" t="s">
        <v>61</v>
      </c>
      <c r="E131" s="68">
        <f aca="true" t="shared" si="153" ref="E131:AG131">SUM(E132)</f>
        <v>10000</v>
      </c>
      <c r="F131" s="68">
        <f t="shared" si="153"/>
        <v>0</v>
      </c>
      <c r="G131" s="68">
        <f t="shared" si="153"/>
        <v>10000</v>
      </c>
      <c r="H131" s="68">
        <f t="shared" si="153"/>
        <v>0</v>
      </c>
      <c r="I131" s="68">
        <f t="shared" si="153"/>
        <v>10000</v>
      </c>
      <c r="J131" s="68">
        <f t="shared" si="153"/>
        <v>0</v>
      </c>
      <c r="K131" s="68">
        <f t="shared" si="153"/>
        <v>10000</v>
      </c>
      <c r="L131" s="68">
        <f t="shared" si="153"/>
        <v>0</v>
      </c>
      <c r="M131" s="68">
        <f t="shared" si="153"/>
        <v>10000</v>
      </c>
      <c r="N131" s="68">
        <f t="shared" si="153"/>
        <v>0</v>
      </c>
      <c r="O131" s="68">
        <f t="shared" si="153"/>
        <v>10000</v>
      </c>
      <c r="P131" s="68">
        <f t="shared" si="153"/>
        <v>0</v>
      </c>
      <c r="Q131" s="68">
        <f t="shared" si="153"/>
        <v>10000</v>
      </c>
      <c r="R131" s="68">
        <f t="shared" si="153"/>
        <v>0</v>
      </c>
      <c r="S131" s="68">
        <f t="shared" si="153"/>
        <v>10000</v>
      </c>
      <c r="T131" s="68">
        <f t="shared" si="153"/>
        <v>0</v>
      </c>
      <c r="U131" s="68">
        <f t="shared" si="153"/>
        <v>10000</v>
      </c>
      <c r="V131" s="68">
        <f t="shared" si="153"/>
        <v>0</v>
      </c>
      <c r="W131" s="68">
        <f t="shared" si="153"/>
        <v>10000</v>
      </c>
      <c r="X131" s="68">
        <f t="shared" si="153"/>
        <v>0</v>
      </c>
      <c r="Y131" s="68">
        <f t="shared" si="153"/>
        <v>10000</v>
      </c>
      <c r="Z131" s="68">
        <f t="shared" si="153"/>
        <v>0</v>
      </c>
      <c r="AA131" s="68">
        <f t="shared" si="153"/>
        <v>10000</v>
      </c>
      <c r="AB131" s="68">
        <f t="shared" si="153"/>
        <v>0</v>
      </c>
      <c r="AC131" s="68">
        <f t="shared" si="153"/>
        <v>10000</v>
      </c>
      <c r="AD131" s="68">
        <f t="shared" si="153"/>
        <v>0</v>
      </c>
      <c r="AE131" s="68">
        <f t="shared" si="153"/>
        <v>10000</v>
      </c>
      <c r="AF131" s="68">
        <f t="shared" si="153"/>
        <v>0</v>
      </c>
      <c r="AG131" s="68">
        <f t="shared" si="153"/>
        <v>10000</v>
      </c>
    </row>
    <row r="132" spans="1:33" s="122" customFormat="1" ht="19.5" customHeight="1">
      <c r="A132" s="126"/>
      <c r="B132" s="127"/>
      <c r="C132" s="76" t="s">
        <v>161</v>
      </c>
      <c r="D132" s="74" t="s">
        <v>12</v>
      </c>
      <c r="E132" s="68">
        <v>10000</v>
      </c>
      <c r="F132" s="68"/>
      <c r="G132" s="68">
        <f>SUM(E132:F132)</f>
        <v>10000</v>
      </c>
      <c r="H132" s="68"/>
      <c r="I132" s="68">
        <f>SUM(G132:H132)</f>
        <v>10000</v>
      </c>
      <c r="J132" s="68"/>
      <c r="K132" s="68">
        <f>SUM(I132:J132)</f>
        <v>10000</v>
      </c>
      <c r="L132" s="68"/>
      <c r="M132" s="68">
        <f>SUM(K132:L132)</f>
        <v>10000</v>
      </c>
      <c r="N132" s="68"/>
      <c r="O132" s="68">
        <f>SUM(M132:N132)</f>
        <v>10000</v>
      </c>
      <c r="P132" s="68"/>
      <c r="Q132" s="68">
        <f>SUM(O132:P132)</f>
        <v>10000</v>
      </c>
      <c r="R132" s="68"/>
      <c r="S132" s="68">
        <f>SUM(Q132:R132)</f>
        <v>10000</v>
      </c>
      <c r="T132" s="68"/>
      <c r="U132" s="68">
        <f>SUM(S132:T132)</f>
        <v>10000</v>
      </c>
      <c r="V132" s="68"/>
      <c r="W132" s="68">
        <f>SUM(U132:V132)</f>
        <v>10000</v>
      </c>
      <c r="X132" s="68"/>
      <c r="Y132" s="68">
        <f>SUM(W132:X132)</f>
        <v>10000</v>
      </c>
      <c r="Z132" s="68"/>
      <c r="AA132" s="68">
        <f>SUM(Y132:Z132)</f>
        <v>10000</v>
      </c>
      <c r="AB132" s="68"/>
      <c r="AC132" s="68">
        <f>SUM(AA132:AB132)</f>
        <v>10000</v>
      </c>
      <c r="AD132" s="68"/>
      <c r="AE132" s="68">
        <f>SUM(AC132:AD132)</f>
        <v>10000</v>
      </c>
      <c r="AF132" s="68"/>
      <c r="AG132" s="68">
        <f>SUM(AE132:AF132)</f>
        <v>10000</v>
      </c>
    </row>
    <row r="133" spans="1:33" s="122" customFormat="1" ht="33.75">
      <c r="A133" s="123"/>
      <c r="B133" s="124">
        <v>90019</v>
      </c>
      <c r="C133" s="184"/>
      <c r="D133" s="180" t="s">
        <v>334</v>
      </c>
      <c r="E133" s="179"/>
      <c r="F133" s="179"/>
      <c r="G133" s="179"/>
      <c r="H133" s="179"/>
      <c r="I133" s="179">
        <f aca="true" t="shared" si="154" ref="I133:AG133">SUM(I134)</f>
        <v>0</v>
      </c>
      <c r="J133" s="179">
        <f t="shared" si="154"/>
        <v>200000</v>
      </c>
      <c r="K133" s="179">
        <f t="shared" si="154"/>
        <v>200000</v>
      </c>
      <c r="L133" s="179">
        <f t="shared" si="154"/>
        <v>0</v>
      </c>
      <c r="M133" s="179">
        <f t="shared" si="154"/>
        <v>200000</v>
      </c>
      <c r="N133" s="179">
        <f t="shared" si="154"/>
        <v>0</v>
      </c>
      <c r="O133" s="179">
        <f t="shared" si="154"/>
        <v>200000</v>
      </c>
      <c r="P133" s="179">
        <f t="shared" si="154"/>
        <v>0</v>
      </c>
      <c r="Q133" s="179">
        <f t="shared" si="154"/>
        <v>200000</v>
      </c>
      <c r="R133" s="179">
        <f t="shared" si="154"/>
        <v>0</v>
      </c>
      <c r="S133" s="179">
        <f t="shared" si="154"/>
        <v>200000</v>
      </c>
      <c r="T133" s="179">
        <f t="shared" si="154"/>
        <v>0</v>
      </c>
      <c r="U133" s="179">
        <f t="shared" si="154"/>
        <v>200000</v>
      </c>
      <c r="V133" s="179">
        <f t="shared" si="154"/>
        <v>0</v>
      </c>
      <c r="W133" s="179">
        <f t="shared" si="154"/>
        <v>200000</v>
      </c>
      <c r="X133" s="179">
        <f t="shared" si="154"/>
        <v>0</v>
      </c>
      <c r="Y133" s="179">
        <f t="shared" si="154"/>
        <v>200000</v>
      </c>
      <c r="Z133" s="179">
        <f t="shared" si="154"/>
        <v>150000</v>
      </c>
      <c r="AA133" s="179">
        <f t="shared" si="154"/>
        <v>350000</v>
      </c>
      <c r="AB133" s="179">
        <f t="shared" si="154"/>
        <v>0</v>
      </c>
      <c r="AC133" s="179">
        <f t="shared" si="154"/>
        <v>350000</v>
      </c>
      <c r="AD133" s="179">
        <f t="shared" si="154"/>
        <v>0</v>
      </c>
      <c r="AE133" s="179">
        <f t="shared" si="154"/>
        <v>350000</v>
      </c>
      <c r="AF133" s="179">
        <f t="shared" si="154"/>
        <v>0</v>
      </c>
      <c r="AG133" s="179">
        <f t="shared" si="154"/>
        <v>350000</v>
      </c>
    </row>
    <row r="134" spans="1:33" s="122" customFormat="1" ht="24" customHeight="1">
      <c r="A134" s="126"/>
      <c r="B134" s="127"/>
      <c r="C134" s="76" t="s">
        <v>181</v>
      </c>
      <c r="D134" s="37" t="s">
        <v>143</v>
      </c>
      <c r="E134" s="68"/>
      <c r="F134" s="68"/>
      <c r="G134" s="68"/>
      <c r="H134" s="68"/>
      <c r="I134" s="68">
        <v>0</v>
      </c>
      <c r="J134" s="68">
        <v>200000</v>
      </c>
      <c r="K134" s="68">
        <f>SUM(I134:J134)</f>
        <v>200000</v>
      </c>
      <c r="L134" s="68"/>
      <c r="M134" s="68">
        <f>SUM(K134:L134)</f>
        <v>200000</v>
      </c>
      <c r="N134" s="68"/>
      <c r="O134" s="68">
        <f>SUM(M134:N134)</f>
        <v>200000</v>
      </c>
      <c r="P134" s="68"/>
      <c r="Q134" s="68">
        <f>SUM(O134:P134)</f>
        <v>200000</v>
      </c>
      <c r="R134" s="68"/>
      <c r="S134" s="68">
        <f>SUM(Q134:R134)</f>
        <v>200000</v>
      </c>
      <c r="T134" s="68"/>
      <c r="U134" s="68">
        <f>SUM(S134:T134)</f>
        <v>200000</v>
      </c>
      <c r="V134" s="68"/>
      <c r="W134" s="68">
        <f>SUM(U134:V134)</f>
        <v>200000</v>
      </c>
      <c r="X134" s="68"/>
      <c r="Y134" s="68">
        <f>SUM(W134:X134)</f>
        <v>200000</v>
      </c>
      <c r="Z134" s="68">
        <v>150000</v>
      </c>
      <c r="AA134" s="68">
        <f>SUM(Y134:Z134)</f>
        <v>350000</v>
      </c>
      <c r="AB134" s="68"/>
      <c r="AC134" s="68">
        <f>SUM(AA134:AB134)</f>
        <v>350000</v>
      </c>
      <c r="AD134" s="68"/>
      <c r="AE134" s="68">
        <f>SUM(AC134:AD134)</f>
        <v>350000</v>
      </c>
      <c r="AF134" s="68"/>
      <c r="AG134" s="68">
        <f>SUM(AE134:AF134)</f>
        <v>350000</v>
      </c>
    </row>
    <row r="135" spans="1:33" s="23" customFormat="1" ht="21" customHeight="1">
      <c r="A135" s="69"/>
      <c r="B135" s="70">
        <v>90095</v>
      </c>
      <c r="C135" s="71"/>
      <c r="D135" s="74" t="s">
        <v>6</v>
      </c>
      <c r="E135" s="68">
        <f aca="true" t="shared" si="155" ref="E135:AG135">SUM(E136)</f>
        <v>6000</v>
      </c>
      <c r="F135" s="68">
        <f t="shared" si="155"/>
        <v>0</v>
      </c>
      <c r="G135" s="68">
        <f t="shared" si="155"/>
        <v>6000</v>
      </c>
      <c r="H135" s="68">
        <f t="shared" si="155"/>
        <v>0</v>
      </c>
      <c r="I135" s="68">
        <f t="shared" si="155"/>
        <v>6000</v>
      </c>
      <c r="J135" s="68">
        <f t="shared" si="155"/>
        <v>0</v>
      </c>
      <c r="K135" s="68">
        <f t="shared" si="155"/>
        <v>6000</v>
      </c>
      <c r="L135" s="68">
        <f t="shared" si="155"/>
        <v>0</v>
      </c>
      <c r="M135" s="68">
        <f t="shared" si="155"/>
        <v>6000</v>
      </c>
      <c r="N135" s="68">
        <f t="shared" si="155"/>
        <v>0</v>
      </c>
      <c r="O135" s="68">
        <f t="shared" si="155"/>
        <v>6000</v>
      </c>
      <c r="P135" s="68">
        <f t="shared" si="155"/>
        <v>0</v>
      </c>
      <c r="Q135" s="68">
        <f t="shared" si="155"/>
        <v>6000</v>
      </c>
      <c r="R135" s="68">
        <f t="shared" si="155"/>
        <v>0</v>
      </c>
      <c r="S135" s="68">
        <f t="shared" si="155"/>
        <v>6000</v>
      </c>
      <c r="T135" s="68">
        <f t="shared" si="155"/>
        <v>0</v>
      </c>
      <c r="U135" s="68">
        <f t="shared" si="155"/>
        <v>6000</v>
      </c>
      <c r="V135" s="68">
        <f t="shared" si="155"/>
        <v>0</v>
      </c>
      <c r="W135" s="68">
        <f t="shared" si="155"/>
        <v>6000</v>
      </c>
      <c r="X135" s="68">
        <f t="shared" si="155"/>
        <v>0</v>
      </c>
      <c r="Y135" s="68">
        <f t="shared" si="155"/>
        <v>6000</v>
      </c>
      <c r="Z135" s="68">
        <f t="shared" si="155"/>
        <v>0</v>
      </c>
      <c r="AA135" s="68">
        <f t="shared" si="155"/>
        <v>6000</v>
      </c>
      <c r="AB135" s="68">
        <f t="shared" si="155"/>
        <v>0</v>
      </c>
      <c r="AC135" s="68">
        <f t="shared" si="155"/>
        <v>6000</v>
      </c>
      <c r="AD135" s="68">
        <f t="shared" si="155"/>
        <v>0</v>
      </c>
      <c r="AE135" s="68">
        <f t="shared" si="155"/>
        <v>6000</v>
      </c>
      <c r="AF135" s="68">
        <f t="shared" si="155"/>
        <v>0</v>
      </c>
      <c r="AG135" s="68">
        <f t="shared" si="155"/>
        <v>6000</v>
      </c>
    </row>
    <row r="136" spans="1:33" s="23" customFormat="1" ht="18" customHeight="1">
      <c r="A136" s="69"/>
      <c r="B136" s="70"/>
      <c r="C136" s="71" t="s">
        <v>175</v>
      </c>
      <c r="D136" s="74" t="s">
        <v>230</v>
      </c>
      <c r="E136" s="68">
        <v>6000</v>
      </c>
      <c r="F136" s="68"/>
      <c r="G136" s="68">
        <f>SUM(E136:F136)</f>
        <v>6000</v>
      </c>
      <c r="H136" s="68"/>
      <c r="I136" s="68">
        <f>SUM(G136:H136)</f>
        <v>6000</v>
      </c>
      <c r="J136" s="68"/>
      <c r="K136" s="68">
        <f>SUM(I136:J136)</f>
        <v>6000</v>
      </c>
      <c r="L136" s="68"/>
      <c r="M136" s="68">
        <f>SUM(K136:L136)</f>
        <v>6000</v>
      </c>
      <c r="N136" s="68"/>
      <c r="O136" s="68">
        <f>SUM(M136:N136)</f>
        <v>6000</v>
      </c>
      <c r="P136" s="68"/>
      <c r="Q136" s="68">
        <f>SUM(O136:P136)</f>
        <v>6000</v>
      </c>
      <c r="R136" s="68"/>
      <c r="S136" s="68">
        <f>SUM(Q136:R136)</f>
        <v>6000</v>
      </c>
      <c r="T136" s="68"/>
      <c r="U136" s="68">
        <f>SUM(S136:T136)</f>
        <v>6000</v>
      </c>
      <c r="V136" s="68"/>
      <c r="W136" s="68">
        <f>SUM(U136:V136)</f>
        <v>6000</v>
      </c>
      <c r="X136" s="68"/>
      <c r="Y136" s="68">
        <f>SUM(W136:X136)</f>
        <v>6000</v>
      </c>
      <c r="Z136" s="68"/>
      <c r="AA136" s="68">
        <f>SUM(Y136:Z136)</f>
        <v>6000</v>
      </c>
      <c r="AB136" s="68"/>
      <c r="AC136" s="68">
        <f>SUM(AA136:AB136)</f>
        <v>6000</v>
      </c>
      <c r="AD136" s="68"/>
      <c r="AE136" s="68">
        <f>SUM(AC136:AD136)</f>
        <v>6000</v>
      </c>
      <c r="AF136" s="68"/>
      <c r="AG136" s="68">
        <f>SUM(AE136:AF136)</f>
        <v>6000</v>
      </c>
    </row>
    <row r="137" spans="1:33" s="6" customFormat="1" ht="24" customHeight="1">
      <c r="A137" s="28" t="s">
        <v>62</v>
      </c>
      <c r="B137" s="1"/>
      <c r="C137" s="2"/>
      <c r="D137" s="29" t="s">
        <v>68</v>
      </c>
      <c r="E137" s="55">
        <f>SUM(E140)</f>
        <v>60000</v>
      </c>
      <c r="F137" s="55">
        <f>SUM(F140)</f>
        <v>0</v>
      </c>
      <c r="G137" s="55">
        <f>SUM(G140)</f>
        <v>60000</v>
      </c>
      <c r="H137" s="55">
        <f>SUM(H140)</f>
        <v>0</v>
      </c>
      <c r="I137" s="55">
        <f aca="true" t="shared" si="156" ref="I137:O137">SUM(I140,I138)</f>
        <v>60000</v>
      </c>
      <c r="J137" s="55">
        <f t="shared" si="156"/>
        <v>11400</v>
      </c>
      <c r="K137" s="55">
        <f t="shared" si="156"/>
        <v>71400</v>
      </c>
      <c r="L137" s="55">
        <f t="shared" si="156"/>
        <v>0</v>
      </c>
      <c r="M137" s="55">
        <f t="shared" si="156"/>
        <v>71400</v>
      </c>
      <c r="N137" s="55">
        <f t="shared" si="156"/>
        <v>0</v>
      </c>
      <c r="O137" s="55">
        <f t="shared" si="156"/>
        <v>71400</v>
      </c>
      <c r="P137" s="55">
        <f aca="true" t="shared" si="157" ref="P137:U137">SUM(P140,P138)</f>
        <v>0</v>
      </c>
      <c r="Q137" s="55">
        <f t="shared" si="157"/>
        <v>71400</v>
      </c>
      <c r="R137" s="55">
        <f t="shared" si="157"/>
        <v>0</v>
      </c>
      <c r="S137" s="55">
        <f t="shared" si="157"/>
        <v>71400</v>
      </c>
      <c r="T137" s="55">
        <f t="shared" si="157"/>
        <v>0</v>
      </c>
      <c r="U137" s="55">
        <f t="shared" si="157"/>
        <v>71400</v>
      </c>
      <c r="V137" s="55">
        <f aca="true" t="shared" si="158" ref="V137:AA137">SUM(V140,V138)</f>
        <v>0</v>
      </c>
      <c r="W137" s="55">
        <f t="shared" si="158"/>
        <v>71400</v>
      </c>
      <c r="X137" s="55">
        <f t="shared" si="158"/>
        <v>0</v>
      </c>
      <c r="Y137" s="55">
        <f t="shared" si="158"/>
        <v>71400</v>
      </c>
      <c r="Z137" s="55">
        <f t="shared" si="158"/>
        <v>0</v>
      </c>
      <c r="AA137" s="55">
        <f t="shared" si="158"/>
        <v>71400</v>
      </c>
      <c r="AB137" s="55">
        <f aca="true" t="shared" si="159" ref="AB137:AG137">SUM(AB140,AB138)</f>
        <v>0</v>
      </c>
      <c r="AC137" s="55">
        <f t="shared" si="159"/>
        <v>71400</v>
      </c>
      <c r="AD137" s="55">
        <f t="shared" si="159"/>
        <v>0</v>
      </c>
      <c r="AE137" s="55">
        <f t="shared" si="159"/>
        <v>71400</v>
      </c>
      <c r="AF137" s="55">
        <f t="shared" si="159"/>
        <v>0</v>
      </c>
      <c r="AG137" s="55">
        <f t="shared" si="159"/>
        <v>71400</v>
      </c>
    </row>
    <row r="138" spans="1:33" s="122" customFormat="1" ht="20.25" customHeight="1">
      <c r="A138" s="123"/>
      <c r="B138" s="130">
        <v>92105</v>
      </c>
      <c r="C138" s="135"/>
      <c r="D138" s="180" t="s">
        <v>331</v>
      </c>
      <c r="E138" s="179"/>
      <c r="F138" s="179"/>
      <c r="G138" s="179"/>
      <c r="H138" s="179"/>
      <c r="I138" s="179">
        <f aca="true" t="shared" si="160" ref="I138:AG138">SUM(I139)</f>
        <v>0</v>
      </c>
      <c r="J138" s="179">
        <f t="shared" si="160"/>
        <v>11400</v>
      </c>
      <c r="K138" s="179">
        <f t="shared" si="160"/>
        <v>11400</v>
      </c>
      <c r="L138" s="179">
        <f t="shared" si="160"/>
        <v>0</v>
      </c>
      <c r="M138" s="179">
        <f t="shared" si="160"/>
        <v>11400</v>
      </c>
      <c r="N138" s="179">
        <f t="shared" si="160"/>
        <v>0</v>
      </c>
      <c r="O138" s="179">
        <f t="shared" si="160"/>
        <v>11400</v>
      </c>
      <c r="P138" s="179">
        <f t="shared" si="160"/>
        <v>0</v>
      </c>
      <c r="Q138" s="179">
        <f t="shared" si="160"/>
        <v>11400</v>
      </c>
      <c r="R138" s="179">
        <f t="shared" si="160"/>
        <v>0</v>
      </c>
      <c r="S138" s="179">
        <f t="shared" si="160"/>
        <v>11400</v>
      </c>
      <c r="T138" s="179">
        <f t="shared" si="160"/>
        <v>0</v>
      </c>
      <c r="U138" s="179">
        <f t="shared" si="160"/>
        <v>11400</v>
      </c>
      <c r="V138" s="179">
        <f t="shared" si="160"/>
        <v>0</v>
      </c>
      <c r="W138" s="179">
        <f t="shared" si="160"/>
        <v>11400</v>
      </c>
      <c r="X138" s="179">
        <f t="shared" si="160"/>
        <v>0</v>
      </c>
      <c r="Y138" s="179">
        <f t="shared" si="160"/>
        <v>11400</v>
      </c>
      <c r="Z138" s="179">
        <f t="shared" si="160"/>
        <v>0</v>
      </c>
      <c r="AA138" s="179">
        <f t="shared" si="160"/>
        <v>11400</v>
      </c>
      <c r="AB138" s="179">
        <f t="shared" si="160"/>
        <v>0</v>
      </c>
      <c r="AC138" s="179">
        <f t="shared" si="160"/>
        <v>11400</v>
      </c>
      <c r="AD138" s="179">
        <f t="shared" si="160"/>
        <v>0</v>
      </c>
      <c r="AE138" s="179">
        <f t="shared" si="160"/>
        <v>11400</v>
      </c>
      <c r="AF138" s="179">
        <f t="shared" si="160"/>
        <v>0</v>
      </c>
      <c r="AG138" s="179">
        <f t="shared" si="160"/>
        <v>11400</v>
      </c>
    </row>
    <row r="139" spans="1:33" s="6" customFormat="1" ht="45">
      <c r="A139" s="28"/>
      <c r="B139" s="1"/>
      <c r="C139" s="71">
        <v>2320</v>
      </c>
      <c r="D139" s="74" t="s">
        <v>212</v>
      </c>
      <c r="E139" s="55"/>
      <c r="F139" s="55"/>
      <c r="G139" s="55"/>
      <c r="H139" s="55"/>
      <c r="I139" s="179">
        <v>0</v>
      </c>
      <c r="J139" s="179">
        <f>1000+300+300+500+300+500+1000+2000+1000+3500+1000</f>
        <v>11400</v>
      </c>
      <c r="K139" s="179">
        <f>SUM(I139:J139)</f>
        <v>11400</v>
      </c>
      <c r="L139" s="179"/>
      <c r="M139" s="179">
        <f>SUM(K139:L139)</f>
        <v>11400</v>
      </c>
      <c r="N139" s="179"/>
      <c r="O139" s="179">
        <f>SUM(M139:N139)</f>
        <v>11400</v>
      </c>
      <c r="P139" s="179"/>
      <c r="Q139" s="179">
        <f>SUM(O139:P139)</f>
        <v>11400</v>
      </c>
      <c r="R139" s="179"/>
      <c r="S139" s="179">
        <f>SUM(Q139:R139)</f>
        <v>11400</v>
      </c>
      <c r="T139" s="179"/>
      <c r="U139" s="179">
        <f>SUM(S139:T139)</f>
        <v>11400</v>
      </c>
      <c r="V139" s="179"/>
      <c r="W139" s="179">
        <f>SUM(U139:V139)</f>
        <v>11400</v>
      </c>
      <c r="X139" s="179"/>
      <c r="Y139" s="179">
        <f>SUM(W139:X139)</f>
        <v>11400</v>
      </c>
      <c r="Z139" s="179"/>
      <c r="AA139" s="179">
        <f>SUM(Y139:Z139)</f>
        <v>11400</v>
      </c>
      <c r="AB139" s="179"/>
      <c r="AC139" s="179">
        <f>SUM(AA139:AB139)</f>
        <v>11400</v>
      </c>
      <c r="AD139" s="179"/>
      <c r="AE139" s="179">
        <f>SUM(AC139:AD139)</f>
        <v>11400</v>
      </c>
      <c r="AF139" s="179"/>
      <c r="AG139" s="179">
        <f>SUM(AE139:AF139)</f>
        <v>11400</v>
      </c>
    </row>
    <row r="140" spans="1:33" s="23" customFormat="1" ht="19.5" customHeight="1">
      <c r="A140" s="69"/>
      <c r="B140" s="70" t="s">
        <v>63</v>
      </c>
      <c r="C140" s="77"/>
      <c r="D140" s="74" t="s">
        <v>64</v>
      </c>
      <c r="E140" s="68">
        <f aca="true" t="shared" si="161" ref="E140:AG140">SUM(E141)</f>
        <v>60000</v>
      </c>
      <c r="F140" s="68">
        <f t="shared" si="161"/>
        <v>0</v>
      </c>
      <c r="G140" s="68">
        <f t="shared" si="161"/>
        <v>60000</v>
      </c>
      <c r="H140" s="68">
        <f t="shared" si="161"/>
        <v>0</v>
      </c>
      <c r="I140" s="68">
        <f t="shared" si="161"/>
        <v>60000</v>
      </c>
      <c r="J140" s="68">
        <f t="shared" si="161"/>
        <v>0</v>
      </c>
      <c r="K140" s="68">
        <f t="shared" si="161"/>
        <v>60000</v>
      </c>
      <c r="L140" s="68">
        <f t="shared" si="161"/>
        <v>0</v>
      </c>
      <c r="M140" s="68">
        <f t="shared" si="161"/>
        <v>60000</v>
      </c>
      <c r="N140" s="68">
        <f t="shared" si="161"/>
        <v>0</v>
      </c>
      <c r="O140" s="68">
        <f t="shared" si="161"/>
        <v>60000</v>
      </c>
      <c r="P140" s="68">
        <f t="shared" si="161"/>
        <v>0</v>
      </c>
      <c r="Q140" s="68">
        <f t="shared" si="161"/>
        <v>60000</v>
      </c>
      <c r="R140" s="68">
        <f t="shared" si="161"/>
        <v>0</v>
      </c>
      <c r="S140" s="68">
        <f t="shared" si="161"/>
        <v>60000</v>
      </c>
      <c r="T140" s="68">
        <f t="shared" si="161"/>
        <v>0</v>
      </c>
      <c r="U140" s="68">
        <f t="shared" si="161"/>
        <v>60000</v>
      </c>
      <c r="V140" s="68">
        <f t="shared" si="161"/>
        <v>0</v>
      </c>
      <c r="W140" s="68">
        <f t="shared" si="161"/>
        <v>60000</v>
      </c>
      <c r="X140" s="68">
        <f t="shared" si="161"/>
        <v>0</v>
      </c>
      <c r="Y140" s="68">
        <f t="shared" si="161"/>
        <v>60000</v>
      </c>
      <c r="Z140" s="68">
        <f t="shared" si="161"/>
        <v>0</v>
      </c>
      <c r="AA140" s="68">
        <f t="shared" si="161"/>
        <v>60000</v>
      </c>
      <c r="AB140" s="68">
        <f t="shared" si="161"/>
        <v>0</v>
      </c>
      <c r="AC140" s="68">
        <f t="shared" si="161"/>
        <v>60000</v>
      </c>
      <c r="AD140" s="68">
        <f t="shared" si="161"/>
        <v>0</v>
      </c>
      <c r="AE140" s="68">
        <f t="shared" si="161"/>
        <v>60000</v>
      </c>
      <c r="AF140" s="68">
        <f t="shared" si="161"/>
        <v>0</v>
      </c>
      <c r="AG140" s="68">
        <f t="shared" si="161"/>
        <v>60000</v>
      </c>
    </row>
    <row r="141" spans="1:33" s="23" customFormat="1" ht="45">
      <c r="A141" s="70"/>
      <c r="B141" s="70"/>
      <c r="C141" s="71">
        <v>2320</v>
      </c>
      <c r="D141" s="74" t="s">
        <v>212</v>
      </c>
      <c r="E141" s="68">
        <v>60000</v>
      </c>
      <c r="F141" s="68"/>
      <c r="G141" s="68">
        <f>SUM(E141:F141)</f>
        <v>60000</v>
      </c>
      <c r="H141" s="68"/>
      <c r="I141" s="68">
        <f>SUM(G141:H141)</f>
        <v>60000</v>
      </c>
      <c r="J141" s="68"/>
      <c r="K141" s="68">
        <f>SUM(I141:J141)</f>
        <v>60000</v>
      </c>
      <c r="L141" s="68"/>
      <c r="M141" s="68">
        <f>SUM(K141:L141)</f>
        <v>60000</v>
      </c>
      <c r="N141" s="68"/>
      <c r="O141" s="68">
        <f>SUM(M141:N141)</f>
        <v>60000</v>
      </c>
      <c r="P141" s="68"/>
      <c r="Q141" s="68">
        <f>SUM(O141:P141)</f>
        <v>60000</v>
      </c>
      <c r="R141" s="68"/>
      <c r="S141" s="68">
        <f>SUM(Q141:R141)</f>
        <v>60000</v>
      </c>
      <c r="T141" s="68"/>
      <c r="U141" s="68">
        <f>SUM(S141:T141)</f>
        <v>60000</v>
      </c>
      <c r="V141" s="68"/>
      <c r="W141" s="68">
        <f>SUM(U141:V141)</f>
        <v>60000</v>
      </c>
      <c r="X141" s="68"/>
      <c r="Y141" s="68">
        <f>SUM(W141:X141)</f>
        <v>60000</v>
      </c>
      <c r="Z141" s="68"/>
      <c r="AA141" s="68">
        <f>SUM(Y141:Z141)</f>
        <v>60000</v>
      </c>
      <c r="AB141" s="68"/>
      <c r="AC141" s="68">
        <f>SUM(AA141:AB141)</f>
        <v>60000</v>
      </c>
      <c r="AD141" s="68"/>
      <c r="AE141" s="68">
        <f>SUM(AC141:AD141)</f>
        <v>60000</v>
      </c>
      <c r="AF141" s="68"/>
      <c r="AG141" s="68">
        <f>SUM(AE141:AF141)</f>
        <v>60000</v>
      </c>
    </row>
    <row r="142" spans="1:33" s="148" customFormat="1" ht="26.25" customHeight="1">
      <c r="A142" s="177">
        <v>926</v>
      </c>
      <c r="B142" s="177"/>
      <c r="C142" s="177"/>
      <c r="D142" s="160" t="s">
        <v>65</v>
      </c>
      <c r="E142" s="178"/>
      <c r="F142" s="178"/>
      <c r="G142" s="178"/>
      <c r="H142" s="178"/>
      <c r="I142" s="178">
        <f aca="true" t="shared" si="162" ref="I142:Z142">SUM(I145)</f>
        <v>0</v>
      </c>
      <c r="J142" s="178">
        <f t="shared" si="162"/>
        <v>2200</v>
      </c>
      <c r="K142" s="178">
        <f t="shared" si="162"/>
        <v>2200</v>
      </c>
      <c r="L142" s="178">
        <f t="shared" si="162"/>
        <v>0</v>
      </c>
      <c r="M142" s="178">
        <f t="shared" si="162"/>
        <v>2200</v>
      </c>
      <c r="N142" s="178">
        <f t="shared" si="162"/>
        <v>0</v>
      </c>
      <c r="O142" s="178">
        <f t="shared" si="162"/>
        <v>2200</v>
      </c>
      <c r="P142" s="178">
        <f t="shared" si="162"/>
        <v>20000</v>
      </c>
      <c r="Q142" s="178">
        <f t="shared" si="162"/>
        <v>22200</v>
      </c>
      <c r="R142" s="178">
        <f t="shared" si="162"/>
        <v>0</v>
      </c>
      <c r="S142" s="178">
        <f t="shared" si="162"/>
        <v>22200</v>
      </c>
      <c r="T142" s="178">
        <f t="shared" si="162"/>
        <v>0</v>
      </c>
      <c r="U142" s="178">
        <f t="shared" si="162"/>
        <v>22200</v>
      </c>
      <c r="V142" s="178">
        <f t="shared" si="162"/>
        <v>0</v>
      </c>
      <c r="W142" s="178">
        <f t="shared" si="162"/>
        <v>22200</v>
      </c>
      <c r="X142" s="178">
        <f t="shared" si="162"/>
        <v>0</v>
      </c>
      <c r="Y142" s="178">
        <f t="shared" si="162"/>
        <v>22200</v>
      </c>
      <c r="Z142" s="178">
        <f t="shared" si="162"/>
        <v>0</v>
      </c>
      <c r="AA142" s="178">
        <f>SUM(AA145,AA148)</f>
        <v>22200</v>
      </c>
      <c r="AB142" s="178">
        <f>SUM(AB145,AB148)</f>
        <v>0</v>
      </c>
      <c r="AC142" s="178">
        <f>SUM(AC145,AC148,AC143)</f>
        <v>22200</v>
      </c>
      <c r="AD142" s="178">
        <f>SUM(AD145,AD148,AD143)</f>
        <v>333000</v>
      </c>
      <c r="AE142" s="178">
        <f>SUM(AE145,AE148,AE143)</f>
        <v>355200</v>
      </c>
      <c r="AF142" s="178">
        <f>SUM(AF145,AF148,AF143)</f>
        <v>0</v>
      </c>
      <c r="AG142" s="178">
        <f>SUM(AG145,AG148,AG143)</f>
        <v>355200</v>
      </c>
    </row>
    <row r="143" spans="1:33" s="122" customFormat="1" ht="26.25" customHeight="1">
      <c r="A143" s="124"/>
      <c r="B143" s="124">
        <v>92601</v>
      </c>
      <c r="C143" s="124"/>
      <c r="D143" s="37" t="s">
        <v>233</v>
      </c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>
        <f>SUM(AC144)</f>
        <v>0</v>
      </c>
      <c r="AD143" s="179">
        <f>SUM(AD144)</f>
        <v>333000</v>
      </c>
      <c r="AE143" s="179">
        <f>SUM(AE144)</f>
        <v>333000</v>
      </c>
      <c r="AF143" s="179">
        <f>SUM(AF144)</f>
        <v>0</v>
      </c>
      <c r="AG143" s="179">
        <f>SUM(AG144)</f>
        <v>333000</v>
      </c>
    </row>
    <row r="144" spans="1:33" s="122" customFormat="1" ht="69" customHeight="1">
      <c r="A144" s="124"/>
      <c r="B144" s="124"/>
      <c r="C144" s="124">
        <v>6330</v>
      </c>
      <c r="D144" s="132" t="s">
        <v>488</v>
      </c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>
        <v>0</v>
      </c>
      <c r="AD144" s="179">
        <v>333000</v>
      </c>
      <c r="AE144" s="179">
        <f>SUM(AC144:AD144)</f>
        <v>333000</v>
      </c>
      <c r="AF144" s="179"/>
      <c r="AG144" s="179">
        <f>SUM(AE144:AF144)</f>
        <v>333000</v>
      </c>
    </row>
    <row r="145" spans="1:33" s="23" customFormat="1" ht="24" customHeight="1">
      <c r="A145" s="70"/>
      <c r="B145" s="70">
        <v>92605</v>
      </c>
      <c r="C145" s="70"/>
      <c r="D145" s="12" t="s">
        <v>66</v>
      </c>
      <c r="E145" s="68"/>
      <c r="F145" s="68"/>
      <c r="G145" s="68"/>
      <c r="H145" s="68"/>
      <c r="I145" s="68">
        <f aca="true" t="shared" si="163" ref="I145:N145">SUM(I146)</f>
        <v>0</v>
      </c>
      <c r="J145" s="68">
        <f t="shared" si="163"/>
        <v>2200</v>
      </c>
      <c r="K145" s="68">
        <f t="shared" si="163"/>
        <v>2200</v>
      </c>
      <c r="L145" s="68">
        <f t="shared" si="163"/>
        <v>0</v>
      </c>
      <c r="M145" s="68">
        <f t="shared" si="163"/>
        <v>2200</v>
      </c>
      <c r="N145" s="68">
        <f t="shared" si="163"/>
        <v>0</v>
      </c>
      <c r="O145" s="68">
        <f aca="true" t="shared" si="164" ref="O145:U145">SUM(O146:O147)</f>
        <v>2200</v>
      </c>
      <c r="P145" s="68">
        <f t="shared" si="164"/>
        <v>20000</v>
      </c>
      <c r="Q145" s="68">
        <f t="shared" si="164"/>
        <v>22200</v>
      </c>
      <c r="R145" s="68">
        <f t="shared" si="164"/>
        <v>0</v>
      </c>
      <c r="S145" s="68">
        <f t="shared" si="164"/>
        <v>22200</v>
      </c>
      <c r="T145" s="68">
        <f t="shared" si="164"/>
        <v>0</v>
      </c>
      <c r="U145" s="68">
        <f t="shared" si="164"/>
        <v>22200</v>
      </c>
      <c r="V145" s="68">
        <f aca="true" t="shared" si="165" ref="V145:AA145">SUM(V146:V147)</f>
        <v>0</v>
      </c>
      <c r="W145" s="68">
        <f t="shared" si="165"/>
        <v>22200</v>
      </c>
      <c r="X145" s="68">
        <f t="shared" si="165"/>
        <v>0</v>
      </c>
      <c r="Y145" s="68">
        <f t="shared" si="165"/>
        <v>22200</v>
      </c>
      <c r="Z145" s="68">
        <f t="shared" si="165"/>
        <v>0</v>
      </c>
      <c r="AA145" s="68">
        <f t="shared" si="165"/>
        <v>22200</v>
      </c>
      <c r="AB145" s="68">
        <f aca="true" t="shared" si="166" ref="AB145:AG145">SUM(AB146:AB147)</f>
        <v>-20000</v>
      </c>
      <c r="AC145" s="68">
        <f t="shared" si="166"/>
        <v>2200</v>
      </c>
      <c r="AD145" s="68">
        <f t="shared" si="166"/>
        <v>0</v>
      </c>
      <c r="AE145" s="68">
        <f t="shared" si="166"/>
        <v>2200</v>
      </c>
      <c r="AF145" s="68">
        <f t="shared" si="166"/>
        <v>0</v>
      </c>
      <c r="AG145" s="68">
        <f t="shared" si="166"/>
        <v>2200</v>
      </c>
    </row>
    <row r="146" spans="1:33" s="23" customFormat="1" ht="45">
      <c r="A146" s="70"/>
      <c r="B146" s="70"/>
      <c r="C146" s="70">
        <v>2320</v>
      </c>
      <c r="D146" s="12" t="s">
        <v>212</v>
      </c>
      <c r="E146" s="68"/>
      <c r="F146" s="68"/>
      <c r="G146" s="68"/>
      <c r="H146" s="68"/>
      <c r="I146" s="68">
        <v>0</v>
      </c>
      <c r="J146" s="68">
        <f>1500+700</f>
        <v>2200</v>
      </c>
      <c r="K146" s="68">
        <f>SUM(I146:J146)</f>
        <v>2200</v>
      </c>
      <c r="L146" s="68"/>
      <c r="M146" s="68">
        <f>SUM(K146:L146)</f>
        <v>2200</v>
      </c>
      <c r="N146" s="68"/>
      <c r="O146" s="68">
        <f>SUM(M146:N146)</f>
        <v>2200</v>
      </c>
      <c r="P146" s="68"/>
      <c r="Q146" s="68">
        <f>SUM(O146:P146)</f>
        <v>2200</v>
      </c>
      <c r="R146" s="68"/>
      <c r="S146" s="68">
        <f>SUM(Q146:R146)</f>
        <v>2200</v>
      </c>
      <c r="T146" s="68"/>
      <c r="U146" s="68">
        <f>SUM(S146:T146)</f>
        <v>2200</v>
      </c>
      <c r="V146" s="68"/>
      <c r="W146" s="68">
        <f>SUM(U146:V146)</f>
        <v>2200</v>
      </c>
      <c r="X146" s="68"/>
      <c r="Y146" s="68">
        <f>SUM(W146:X146)</f>
        <v>2200</v>
      </c>
      <c r="Z146" s="68"/>
      <c r="AA146" s="68">
        <f>SUM(Y146:Z146)</f>
        <v>2200</v>
      </c>
      <c r="AB146" s="68"/>
      <c r="AC146" s="68">
        <f>SUM(AA146:AB146)</f>
        <v>2200</v>
      </c>
      <c r="AD146" s="68"/>
      <c r="AE146" s="68">
        <f>SUM(AC146:AD146)</f>
        <v>2200</v>
      </c>
      <c r="AF146" s="68"/>
      <c r="AG146" s="68">
        <f>SUM(AE146:AF146)</f>
        <v>2200</v>
      </c>
    </row>
    <row r="147" spans="1:33" s="23" customFormat="1" ht="45">
      <c r="A147" s="70"/>
      <c r="B147" s="70"/>
      <c r="C147" s="70">
        <v>2440</v>
      </c>
      <c r="D147" s="74" t="s">
        <v>386</v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>
        <v>0</v>
      </c>
      <c r="P147" s="68">
        <v>20000</v>
      </c>
      <c r="Q147" s="68">
        <f>SUM(O147:P147)</f>
        <v>20000</v>
      </c>
      <c r="R147" s="68"/>
      <c r="S147" s="68">
        <f>SUM(Q147:R147)</f>
        <v>20000</v>
      </c>
      <c r="T147" s="68"/>
      <c r="U147" s="68">
        <f>SUM(S147:T147)</f>
        <v>20000</v>
      </c>
      <c r="V147" s="68"/>
      <c r="W147" s="68">
        <f>SUM(U147:V147)</f>
        <v>20000</v>
      </c>
      <c r="X147" s="68"/>
      <c r="Y147" s="68">
        <f>SUM(W147:X147)</f>
        <v>20000</v>
      </c>
      <c r="Z147" s="68"/>
      <c r="AA147" s="68">
        <f>SUM(Y147:Z147)</f>
        <v>20000</v>
      </c>
      <c r="AB147" s="68">
        <v>-20000</v>
      </c>
      <c r="AC147" s="68">
        <f>SUM(AA147:AB147)</f>
        <v>0</v>
      </c>
      <c r="AD147" s="68"/>
      <c r="AE147" s="68">
        <f>SUM(AC147:AD147)</f>
        <v>0</v>
      </c>
      <c r="AF147" s="68"/>
      <c r="AG147" s="68">
        <f>SUM(AE147:AF147)</f>
        <v>0</v>
      </c>
    </row>
    <row r="148" spans="1:33" s="23" customFormat="1" ht="18.75" customHeight="1">
      <c r="A148" s="70"/>
      <c r="B148" s="70">
        <v>92695</v>
      </c>
      <c r="C148" s="70"/>
      <c r="D148" s="12" t="s">
        <v>6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>
        <f aca="true" t="shared" si="167" ref="AA148:AG148">SUM(AA149)</f>
        <v>0</v>
      </c>
      <c r="AB148" s="68">
        <f t="shared" si="167"/>
        <v>20000</v>
      </c>
      <c r="AC148" s="68">
        <f t="shared" si="167"/>
        <v>20000</v>
      </c>
      <c r="AD148" s="68">
        <f t="shared" si="167"/>
        <v>0</v>
      </c>
      <c r="AE148" s="68">
        <f t="shared" si="167"/>
        <v>20000</v>
      </c>
      <c r="AF148" s="68">
        <f t="shared" si="167"/>
        <v>0</v>
      </c>
      <c r="AG148" s="68">
        <f t="shared" si="167"/>
        <v>20000</v>
      </c>
    </row>
    <row r="149" spans="1:33" s="23" customFormat="1" ht="45">
      <c r="A149" s="70"/>
      <c r="B149" s="70"/>
      <c r="C149" s="70">
        <v>2440</v>
      </c>
      <c r="D149" s="74" t="s">
        <v>386</v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>
        <v>0</v>
      </c>
      <c r="AB149" s="68">
        <v>20000</v>
      </c>
      <c r="AC149" s="68">
        <f>SUM(AA149:AB149)</f>
        <v>20000</v>
      </c>
      <c r="AD149" s="68"/>
      <c r="AE149" s="68">
        <f>SUM(AC149:AD149)</f>
        <v>20000</v>
      </c>
      <c r="AF149" s="68"/>
      <c r="AG149" s="68">
        <f>SUM(AE149:AF149)</f>
        <v>20000</v>
      </c>
    </row>
    <row r="150" spans="1:33" ht="18.75" customHeight="1">
      <c r="A150" s="13"/>
      <c r="B150" s="14"/>
      <c r="C150" s="15"/>
      <c r="D150" s="16" t="s">
        <v>67</v>
      </c>
      <c r="E150" s="55">
        <f>SUM(E7,E12,E22,E29,E36,E40,E71,E103,E130,E137,E80)</f>
        <v>57140821</v>
      </c>
      <c r="F150" s="55">
        <f>SUM(F7,F12,F22,F29,F36,F40,F71,F103,F130,F137,F80)</f>
        <v>530000</v>
      </c>
      <c r="G150" s="55">
        <f>SUM(E150:F150)</f>
        <v>57670821</v>
      </c>
      <c r="H150" s="55">
        <f>SUM(H7,H12,H22,H29,H36,H40,H71,H103,H130,H137,H80)</f>
        <v>-73</v>
      </c>
      <c r="I150" s="55">
        <f>SUM(G150:H150)</f>
        <v>57670748</v>
      </c>
      <c r="J150" s="55">
        <f>SUM(J7,J12,J22,J29,J36,J40,J71,J103,J130,J137,J80,J142)</f>
        <v>-51671</v>
      </c>
      <c r="K150" s="55">
        <f aca="true" t="shared" si="168" ref="K150:Z150">SUM(K7,K12,K22,K29,K36,K40,K71,K103,K130,K137,K80,K142,K127)</f>
        <v>57619077</v>
      </c>
      <c r="L150" s="55">
        <f t="shared" si="168"/>
        <v>436012</v>
      </c>
      <c r="M150" s="55">
        <f t="shared" si="168"/>
        <v>58055089</v>
      </c>
      <c r="N150" s="55">
        <f t="shared" si="168"/>
        <v>158567</v>
      </c>
      <c r="O150" s="55">
        <f t="shared" si="168"/>
        <v>58213656</v>
      </c>
      <c r="P150" s="55">
        <f t="shared" si="168"/>
        <v>354691</v>
      </c>
      <c r="Q150" s="55">
        <f t="shared" si="168"/>
        <v>58568347</v>
      </c>
      <c r="R150" s="55">
        <f t="shared" si="168"/>
        <v>21375</v>
      </c>
      <c r="S150" s="55">
        <f t="shared" si="168"/>
        <v>58589722</v>
      </c>
      <c r="T150" s="55">
        <f t="shared" si="168"/>
        <v>69000</v>
      </c>
      <c r="U150" s="55">
        <f t="shared" si="168"/>
        <v>58658722</v>
      </c>
      <c r="V150" s="55">
        <f t="shared" si="168"/>
        <v>109494</v>
      </c>
      <c r="W150" s="55">
        <f t="shared" si="168"/>
        <v>58768216</v>
      </c>
      <c r="X150" s="55">
        <f t="shared" si="168"/>
        <v>187544</v>
      </c>
      <c r="Y150" s="55">
        <f t="shared" si="168"/>
        <v>58955760</v>
      </c>
      <c r="Z150" s="55">
        <f t="shared" si="168"/>
        <v>699968</v>
      </c>
      <c r="AA150" s="55">
        <f aca="true" t="shared" si="169" ref="AA150:AG150">SUM(AA7,AA12,AA22,AA29,AA36,AA40,AA71,AA103,AA130,AA137,AA80,AA142,AA127,AA123)</f>
        <v>59655728</v>
      </c>
      <c r="AB150" s="55">
        <f t="shared" si="169"/>
        <v>375985</v>
      </c>
      <c r="AC150" s="55">
        <f t="shared" si="169"/>
        <v>60031713</v>
      </c>
      <c r="AD150" s="55">
        <f t="shared" si="169"/>
        <v>597771</v>
      </c>
      <c r="AE150" s="55">
        <f t="shared" si="169"/>
        <v>60629484</v>
      </c>
      <c r="AF150" s="55">
        <f t="shared" si="169"/>
        <v>614781</v>
      </c>
      <c r="AG150" s="55">
        <f t="shared" si="169"/>
        <v>61244265</v>
      </c>
    </row>
    <row r="152" ht="12.75">
      <c r="D152" s="100"/>
    </row>
    <row r="153" ht="12.75">
      <c r="D153" s="100"/>
    </row>
    <row r="154" ht="12.75">
      <c r="D154" s="100"/>
    </row>
    <row r="155" ht="12.75">
      <c r="D155" s="100"/>
    </row>
    <row r="156" ht="12.75">
      <c r="D156" s="100"/>
    </row>
    <row r="157" spans="4:32" ht="12.75">
      <c r="D157" s="100"/>
      <c r="P157" s="185"/>
      <c r="R157" s="185"/>
      <c r="T157" s="185"/>
      <c r="V157" s="185"/>
      <c r="X157" s="185"/>
      <c r="Z157" s="221"/>
      <c r="AB157" s="221"/>
      <c r="AD157" s="221"/>
      <c r="AF157" s="221"/>
    </row>
    <row r="158" spans="4:33" ht="12.75">
      <c r="D158" s="100"/>
      <c r="N158" s="185"/>
      <c r="P158" s="185"/>
      <c r="R158" s="185"/>
      <c r="T158" s="185"/>
      <c r="V158" s="185"/>
      <c r="X158" s="185"/>
      <c r="Z158" s="221"/>
      <c r="AB158" s="185"/>
      <c r="AD158" s="221"/>
      <c r="AE158" s="221"/>
      <c r="AF158" s="221"/>
      <c r="AG158" s="221"/>
    </row>
    <row r="159" spans="4:33" ht="12.75">
      <c r="D159" s="100"/>
      <c r="L159" s="185"/>
      <c r="N159" s="185"/>
      <c r="P159" s="185"/>
      <c r="R159" s="185"/>
      <c r="T159" s="185"/>
      <c r="V159" s="185"/>
      <c r="X159" s="185"/>
      <c r="Z159" s="221"/>
      <c r="AB159" s="221"/>
      <c r="AD159" s="221"/>
      <c r="AE159" s="221"/>
      <c r="AF159" s="221"/>
      <c r="AG159" s="221"/>
    </row>
    <row r="160" spans="4:33" ht="12.75">
      <c r="D160" s="100"/>
      <c r="L160" s="185"/>
      <c r="N160" s="185"/>
      <c r="P160" s="185"/>
      <c r="R160" s="185"/>
      <c r="T160" s="185"/>
      <c r="V160" s="185"/>
      <c r="X160" s="185"/>
      <c r="Z160" s="221"/>
      <c r="AB160" s="221"/>
      <c r="AD160" s="221"/>
      <c r="AE160" s="221"/>
      <c r="AF160" s="221"/>
      <c r="AG160" s="221"/>
    </row>
    <row r="161" spans="4:33" ht="12.75">
      <c r="D161" s="100"/>
      <c r="L161" s="185"/>
      <c r="N161" s="185"/>
      <c r="P161" s="185"/>
      <c r="R161" s="185"/>
      <c r="T161" s="185"/>
      <c r="V161" s="185"/>
      <c r="X161" s="185"/>
      <c r="Z161" s="221"/>
      <c r="AB161" s="221"/>
      <c r="AD161" s="221"/>
      <c r="AE161" s="221"/>
      <c r="AF161" s="221"/>
      <c r="AG161" s="221"/>
    </row>
    <row r="162" spans="4:33" ht="12.75">
      <c r="D162" s="100"/>
      <c r="L162" s="185"/>
      <c r="N162" s="185"/>
      <c r="P162" s="185"/>
      <c r="R162" s="185"/>
      <c r="T162" s="185"/>
      <c r="V162" s="185"/>
      <c r="X162" s="185"/>
      <c r="Z162" s="221"/>
      <c r="AB162" s="221"/>
      <c r="AD162" s="221"/>
      <c r="AE162" s="221"/>
      <c r="AF162" s="221"/>
      <c r="AG162" s="221"/>
    </row>
    <row r="163" spans="4:33" ht="12.75">
      <c r="D163" s="100"/>
      <c r="L163" s="185"/>
      <c r="N163" s="185"/>
      <c r="P163" s="185"/>
      <c r="R163" s="185"/>
      <c r="T163" s="185"/>
      <c r="V163" s="185"/>
      <c r="X163" s="185"/>
      <c r="Z163" s="221"/>
      <c r="AB163" s="221"/>
      <c r="AD163" s="221"/>
      <c r="AE163" s="221"/>
      <c r="AF163" s="221"/>
      <c r="AG163" s="221"/>
    </row>
    <row r="164" spans="4:33" ht="12.75">
      <c r="D164" s="100"/>
      <c r="L164" s="185"/>
      <c r="N164" s="185"/>
      <c r="P164" s="185"/>
      <c r="R164" s="185"/>
      <c r="T164" s="185"/>
      <c r="V164" s="185"/>
      <c r="X164" s="185"/>
      <c r="Z164" s="221"/>
      <c r="AB164" s="221"/>
      <c r="AD164" s="221"/>
      <c r="AE164" s="221"/>
      <c r="AF164" s="221"/>
      <c r="AG164" s="221"/>
    </row>
    <row r="165" spans="4:33" ht="12.75">
      <c r="D165" s="100"/>
      <c r="L165" s="185"/>
      <c r="N165" s="185"/>
      <c r="P165" s="185"/>
      <c r="R165" s="185"/>
      <c r="T165" s="185"/>
      <c r="V165" s="185"/>
      <c r="X165" s="185"/>
      <c r="Z165" s="221"/>
      <c r="AB165" s="221"/>
      <c r="AD165" s="221"/>
      <c r="AE165" s="221"/>
      <c r="AF165" s="221"/>
      <c r="AG165" s="221"/>
    </row>
    <row r="166" spans="4:33" ht="12.75">
      <c r="D166" s="100"/>
      <c r="L166" s="185"/>
      <c r="N166" s="185"/>
      <c r="P166" s="185"/>
      <c r="R166" s="185"/>
      <c r="T166" s="185"/>
      <c r="V166" s="185"/>
      <c r="X166" s="185"/>
      <c r="Z166" s="221"/>
      <c r="AB166" s="221"/>
      <c r="AD166" s="221"/>
      <c r="AE166" s="221"/>
      <c r="AF166" s="221"/>
      <c r="AG166" s="221"/>
    </row>
    <row r="167" spans="4:32" ht="12.75">
      <c r="D167" s="100"/>
      <c r="L167" s="185"/>
      <c r="N167" s="185"/>
      <c r="P167" s="185"/>
      <c r="R167" s="185"/>
      <c r="T167" s="185"/>
      <c r="V167" s="185"/>
      <c r="X167" s="185"/>
      <c r="Z167" s="221"/>
      <c r="AB167" s="221"/>
      <c r="AD167" s="185"/>
      <c r="AF167" s="185"/>
    </row>
    <row r="168" spans="4:32" ht="12.75">
      <c r="D168" s="100"/>
      <c r="Z168" s="185"/>
      <c r="AB168" s="185"/>
      <c r="AD168" s="185"/>
      <c r="AF168" s="185"/>
    </row>
    <row r="169" spans="4:32" ht="12.75">
      <c r="D169" s="100"/>
      <c r="Z169" s="221"/>
      <c r="AB169" s="221"/>
      <c r="AD169" s="221"/>
      <c r="AF169" s="221"/>
    </row>
    <row r="170" spans="4:32" ht="12.75">
      <c r="D170" s="100"/>
      <c r="Z170" s="221"/>
      <c r="AB170" s="221"/>
      <c r="AD170" s="221"/>
      <c r="AF170" s="221"/>
    </row>
    <row r="171" ht="12.75">
      <c r="D171" s="100"/>
    </row>
    <row r="172" ht="12.75">
      <c r="D172" s="100"/>
    </row>
    <row r="173" ht="12.75">
      <c r="D173" s="100"/>
    </row>
    <row r="174" spans="4:32" ht="12.75">
      <c r="D174" s="100"/>
      <c r="J174" s="185"/>
      <c r="L174" s="185"/>
      <c r="N174" s="185"/>
      <c r="P174" s="185"/>
      <c r="R174" s="185"/>
      <c r="T174" s="185"/>
      <c r="V174" s="185"/>
      <c r="X174" s="185"/>
      <c r="Z174" s="185"/>
      <c r="AB174" s="185"/>
      <c r="AD174" s="185"/>
      <c r="AF174" s="185"/>
    </row>
    <row r="175" ht="12.75">
      <c r="D175" s="100"/>
    </row>
    <row r="176" ht="12.75">
      <c r="D176" s="100"/>
    </row>
    <row r="177" ht="12.75">
      <c r="D177" s="100"/>
    </row>
    <row r="178" ht="12.75">
      <c r="D178" s="100"/>
    </row>
    <row r="179" ht="12.75">
      <c r="D179" s="100"/>
    </row>
    <row r="180" spans="4:33" ht="12.75">
      <c r="D180" s="100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</row>
    <row r="181" ht="12.75">
      <c r="D181" s="100"/>
    </row>
    <row r="182" ht="12.75">
      <c r="D182" s="100"/>
    </row>
    <row r="183" ht="12.75">
      <c r="D183" s="100"/>
    </row>
    <row r="184" ht="12.75">
      <c r="D184" s="100"/>
    </row>
    <row r="185" ht="12.75">
      <c r="D185" s="100"/>
    </row>
    <row r="186" spans="4:33" ht="12.75">
      <c r="D186" s="100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</row>
    <row r="187" ht="12.75">
      <c r="D187" s="100"/>
    </row>
    <row r="188" ht="12.75">
      <c r="D188" s="100"/>
    </row>
    <row r="189" ht="12.75">
      <c r="D189" s="100"/>
    </row>
    <row r="190" ht="12.75">
      <c r="D190" s="100"/>
    </row>
    <row r="191" ht="12.75">
      <c r="D191" s="100"/>
    </row>
    <row r="192" ht="12.75">
      <c r="D192" s="99"/>
    </row>
    <row r="205" spans="5:33" ht="12.75"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5:33" ht="12.75"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7"/>
  <sheetViews>
    <sheetView zoomScalePageLayoutView="0" workbookViewId="0" topLeftCell="A547">
      <selection activeCell="AK572" sqref="AK572"/>
    </sheetView>
  </sheetViews>
  <sheetFormatPr defaultColWidth="9.00390625" defaultRowHeight="12.75"/>
  <cols>
    <col min="1" max="1" width="4.75390625" style="6" bestFit="1" customWidth="1"/>
    <col min="2" max="2" width="7.25390625" style="6" bestFit="1" customWidth="1"/>
    <col min="3" max="3" width="5.00390625" style="6" bestFit="1" customWidth="1"/>
    <col min="4" max="4" width="33.375" style="6" customWidth="1"/>
    <col min="5" max="5" width="0.12890625" style="27" hidden="1" customWidth="1"/>
    <col min="6" max="6" width="11.25390625" style="27" hidden="1" customWidth="1"/>
    <col min="7" max="8" width="14.875" style="27" hidden="1" customWidth="1"/>
    <col min="9" max="9" width="40.25390625" style="27" hidden="1" customWidth="1"/>
    <col min="10" max="10" width="9.375" style="27" hidden="1" customWidth="1"/>
    <col min="11" max="11" width="14.125" style="27" hidden="1" customWidth="1"/>
    <col min="12" max="12" width="14.875" style="27" hidden="1" customWidth="1"/>
    <col min="13" max="13" width="14.125" style="27" hidden="1" customWidth="1"/>
    <col min="14" max="14" width="9.875" style="27" hidden="1" customWidth="1"/>
    <col min="15" max="15" width="40.00390625" style="27" hidden="1" customWidth="1"/>
    <col min="16" max="16" width="9.875" style="27" hidden="1" customWidth="1"/>
    <col min="17" max="17" width="42.25390625" style="27" hidden="1" customWidth="1"/>
    <col min="18" max="18" width="10.375" style="27" hidden="1" customWidth="1"/>
    <col min="19" max="19" width="43.25390625" style="27" hidden="1" customWidth="1"/>
    <col min="20" max="20" width="8.875" style="27" hidden="1" customWidth="1"/>
    <col min="21" max="21" width="45.375" style="27" hidden="1" customWidth="1"/>
    <col min="22" max="22" width="10.375" style="27" hidden="1" customWidth="1"/>
    <col min="23" max="23" width="43.25390625" style="27" hidden="1" customWidth="1"/>
    <col min="24" max="24" width="9.875" style="27" hidden="1" customWidth="1"/>
    <col min="25" max="25" width="42.25390625" style="27" hidden="1" customWidth="1"/>
    <col min="26" max="26" width="9.875" style="27" hidden="1" customWidth="1"/>
    <col min="27" max="27" width="40.00390625" style="27" hidden="1" customWidth="1"/>
    <col min="28" max="28" width="9.375" style="27" hidden="1" customWidth="1"/>
    <col min="29" max="29" width="44.875" style="27" hidden="1" customWidth="1"/>
    <col min="30" max="30" width="10.375" style="27" hidden="1" customWidth="1"/>
    <col min="31" max="31" width="45.75390625" style="27" hidden="1" customWidth="1"/>
    <col min="32" max="32" width="10.375" style="27" hidden="1" customWidth="1"/>
    <col min="33" max="33" width="0.37109375" style="27" hidden="1" customWidth="1"/>
    <col min="34" max="34" width="9.375" style="27" hidden="1" customWidth="1"/>
    <col min="35" max="35" width="44.375" style="27" hidden="1" customWidth="1"/>
    <col min="36" max="36" width="10.375" style="27" hidden="1" customWidth="1"/>
    <col min="37" max="37" width="14.125" style="27" customWidth="1"/>
    <col min="38" max="38" width="14.875" style="27" customWidth="1"/>
    <col min="39" max="39" width="14.125" style="27" customWidth="1"/>
    <col min="40" max="40" width="12.25390625" style="0" bestFit="1" customWidth="1"/>
    <col min="41" max="41" width="9.25390625" style="0" bestFit="1" customWidth="1"/>
    <col min="42" max="42" width="12.00390625" style="0" customWidth="1"/>
  </cols>
  <sheetData>
    <row r="1" spans="1:39" ht="12.75">
      <c r="A1" s="104"/>
      <c r="B1" s="104"/>
      <c r="C1" s="104"/>
      <c r="D1" s="104"/>
      <c r="E1" s="54"/>
      <c r="F1" s="54"/>
      <c r="G1" s="54" t="s">
        <v>307</v>
      </c>
      <c r="H1" s="54"/>
      <c r="I1" s="54" t="s">
        <v>316</v>
      </c>
      <c r="J1" s="54"/>
      <c r="K1" s="54" t="s">
        <v>351</v>
      </c>
      <c r="L1" s="54"/>
      <c r="M1" s="54" t="s">
        <v>372</v>
      </c>
      <c r="N1" s="54"/>
      <c r="O1" s="54" t="s">
        <v>379</v>
      </c>
      <c r="P1" s="54"/>
      <c r="Q1" s="54" t="s">
        <v>391</v>
      </c>
      <c r="R1" s="54"/>
      <c r="S1" s="54" t="s">
        <v>400</v>
      </c>
      <c r="T1" s="54"/>
      <c r="U1" s="54" t="s">
        <v>407</v>
      </c>
      <c r="V1" s="54"/>
      <c r="W1" s="54" t="s">
        <v>412</v>
      </c>
      <c r="X1" s="54"/>
      <c r="Y1" s="54" t="s">
        <v>436</v>
      </c>
      <c r="Z1" s="54"/>
      <c r="AA1" s="54" t="s">
        <v>439</v>
      </c>
      <c r="AB1" s="54"/>
      <c r="AC1" s="54" t="s">
        <v>444</v>
      </c>
      <c r="AD1" s="54"/>
      <c r="AE1" s="54" t="s">
        <v>454</v>
      </c>
      <c r="AF1" s="54"/>
      <c r="AG1" s="54" t="s">
        <v>460</v>
      </c>
      <c r="AH1" s="54"/>
      <c r="AI1" s="54" t="s">
        <v>483</v>
      </c>
      <c r="AJ1" s="54"/>
      <c r="AK1" s="54" t="s">
        <v>494</v>
      </c>
      <c r="AL1" s="54"/>
      <c r="AM1" s="54"/>
    </row>
    <row r="2" spans="1:39" ht="12.75">
      <c r="A2" s="104"/>
      <c r="B2" s="104"/>
      <c r="C2" s="104"/>
      <c r="D2" s="104"/>
      <c r="E2" s="54"/>
      <c r="F2" s="54"/>
      <c r="G2" s="54" t="s">
        <v>304</v>
      </c>
      <c r="H2" s="54"/>
      <c r="I2" s="54" t="s">
        <v>315</v>
      </c>
      <c r="J2" s="54"/>
      <c r="K2" s="54" t="s">
        <v>348</v>
      </c>
      <c r="L2" s="54"/>
      <c r="M2" s="54" t="s">
        <v>370</v>
      </c>
      <c r="N2" s="54"/>
      <c r="O2" s="54" t="s">
        <v>378</v>
      </c>
      <c r="P2" s="54"/>
      <c r="Q2" s="54" t="s">
        <v>388</v>
      </c>
      <c r="R2" s="54"/>
      <c r="S2" s="54" t="s">
        <v>397</v>
      </c>
      <c r="T2" s="54"/>
      <c r="U2" s="54" t="s">
        <v>404</v>
      </c>
      <c r="V2" s="54"/>
      <c r="W2" s="54" t="s">
        <v>413</v>
      </c>
      <c r="X2" s="54"/>
      <c r="Y2" s="54" t="s">
        <v>421</v>
      </c>
      <c r="Z2" s="54"/>
      <c r="AA2" s="54" t="s">
        <v>438</v>
      </c>
      <c r="AB2" s="54"/>
      <c r="AC2" s="54" t="s">
        <v>443</v>
      </c>
      <c r="AD2" s="54"/>
      <c r="AE2" s="54" t="s">
        <v>452</v>
      </c>
      <c r="AF2" s="54"/>
      <c r="AG2" s="54" t="s">
        <v>459</v>
      </c>
      <c r="AH2" s="54"/>
      <c r="AI2" s="54" t="s">
        <v>482</v>
      </c>
      <c r="AJ2" s="54"/>
      <c r="AK2" s="54" t="s">
        <v>493</v>
      </c>
      <c r="AL2" s="54"/>
      <c r="AM2" s="54"/>
    </row>
    <row r="3" spans="1:39" ht="12.75">
      <c r="A3" s="104"/>
      <c r="B3" s="104"/>
      <c r="C3" s="104"/>
      <c r="D3" s="104"/>
      <c r="E3" s="54"/>
      <c r="F3" s="54"/>
      <c r="G3" s="54" t="s">
        <v>308</v>
      </c>
      <c r="H3" s="54"/>
      <c r="I3" s="54" t="s">
        <v>307</v>
      </c>
      <c r="J3" s="54"/>
      <c r="K3" s="54" t="s">
        <v>316</v>
      </c>
      <c r="L3" s="54"/>
      <c r="M3" s="54" t="s">
        <v>351</v>
      </c>
      <c r="N3" s="54"/>
      <c r="O3" s="54" t="s">
        <v>372</v>
      </c>
      <c r="P3" s="54"/>
      <c r="Q3" s="54" t="s">
        <v>379</v>
      </c>
      <c r="R3" s="54"/>
      <c r="S3" s="54" t="s">
        <v>391</v>
      </c>
      <c r="T3" s="54"/>
      <c r="U3" s="54" t="s">
        <v>400</v>
      </c>
      <c r="V3" s="54"/>
      <c r="W3" s="54" t="s">
        <v>407</v>
      </c>
      <c r="X3" s="54"/>
      <c r="Y3" s="54" t="s">
        <v>412</v>
      </c>
      <c r="Z3" s="54"/>
      <c r="AA3" s="54" t="s">
        <v>436</v>
      </c>
      <c r="AB3" s="54"/>
      <c r="AC3" s="54" t="s">
        <v>439</v>
      </c>
      <c r="AD3" s="54"/>
      <c r="AE3" s="54" t="s">
        <v>444</v>
      </c>
      <c r="AF3" s="54"/>
      <c r="AG3" s="54" t="s">
        <v>454</v>
      </c>
      <c r="AH3" s="54"/>
      <c r="AI3" s="54" t="s">
        <v>460</v>
      </c>
      <c r="AJ3" s="54"/>
      <c r="AK3" s="54" t="s">
        <v>483</v>
      </c>
      <c r="AL3" s="54"/>
      <c r="AM3" s="54"/>
    </row>
    <row r="4" spans="1:39" ht="12.75">
      <c r="A4" s="104"/>
      <c r="B4" s="104"/>
      <c r="C4" s="104"/>
      <c r="D4" s="104"/>
      <c r="E4" s="54"/>
      <c r="F4" s="54"/>
      <c r="G4" s="54" t="s">
        <v>306</v>
      </c>
      <c r="H4" s="54"/>
      <c r="I4" s="54" t="s">
        <v>311</v>
      </c>
      <c r="J4" s="54"/>
      <c r="K4" s="54" t="s">
        <v>326</v>
      </c>
      <c r="L4" s="54"/>
      <c r="M4" s="54" t="s">
        <v>358</v>
      </c>
      <c r="N4" s="54"/>
      <c r="O4" s="54" t="s">
        <v>375</v>
      </c>
      <c r="P4" s="54"/>
      <c r="Q4" s="54" t="s">
        <v>384</v>
      </c>
      <c r="R4" s="54"/>
      <c r="S4" s="54" t="s">
        <v>395</v>
      </c>
      <c r="T4" s="54"/>
      <c r="U4" s="54" t="s">
        <v>399</v>
      </c>
      <c r="V4" s="54"/>
      <c r="W4" s="54" t="s">
        <v>411</v>
      </c>
      <c r="X4" s="54"/>
      <c r="Y4" s="54" t="s">
        <v>417</v>
      </c>
      <c r="Z4" s="54"/>
      <c r="AA4" s="54" t="s">
        <v>437</v>
      </c>
      <c r="AB4" s="54"/>
      <c r="AC4" s="54" t="s">
        <v>440</v>
      </c>
      <c r="AD4" s="54"/>
      <c r="AE4" s="54" t="s">
        <v>449</v>
      </c>
      <c r="AF4" s="54"/>
      <c r="AG4" s="54" t="s">
        <v>458</v>
      </c>
      <c r="AH4" s="54"/>
      <c r="AI4" s="54" t="s">
        <v>462</v>
      </c>
      <c r="AJ4" s="54"/>
      <c r="AK4" s="54" t="s">
        <v>491</v>
      </c>
      <c r="AL4" s="54"/>
      <c r="AM4" s="54"/>
    </row>
    <row r="5" spans="1:39" ht="21" customHeight="1">
      <c r="A5" s="261" t="s">
        <v>277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</row>
    <row r="6" spans="1:39" s="6" customFormat="1" ht="24.75" customHeight="1">
      <c r="A6" s="34" t="s">
        <v>0</v>
      </c>
      <c r="B6" s="34" t="s">
        <v>1</v>
      </c>
      <c r="C6" s="34" t="s">
        <v>2</v>
      </c>
      <c r="D6" s="34" t="s">
        <v>3</v>
      </c>
      <c r="E6" s="56" t="s">
        <v>141</v>
      </c>
      <c r="F6" s="56" t="s">
        <v>283</v>
      </c>
      <c r="G6" s="56" t="s">
        <v>141</v>
      </c>
      <c r="H6" s="56" t="s">
        <v>283</v>
      </c>
      <c r="I6" s="176" t="s">
        <v>320</v>
      </c>
      <c r="J6" s="56" t="s">
        <v>283</v>
      </c>
      <c r="K6" s="176" t="s">
        <v>323</v>
      </c>
      <c r="L6" s="56" t="s">
        <v>283</v>
      </c>
      <c r="M6" s="176" t="s">
        <v>142</v>
      </c>
      <c r="N6" s="56" t="s">
        <v>283</v>
      </c>
      <c r="O6" s="176" t="s">
        <v>142</v>
      </c>
      <c r="P6" s="56" t="s">
        <v>283</v>
      </c>
      <c r="Q6" s="176" t="s">
        <v>142</v>
      </c>
      <c r="R6" s="56" t="s">
        <v>283</v>
      </c>
      <c r="S6" s="176" t="s">
        <v>142</v>
      </c>
      <c r="T6" s="56" t="s">
        <v>283</v>
      </c>
      <c r="U6" s="176" t="s">
        <v>142</v>
      </c>
      <c r="V6" s="56" t="s">
        <v>283</v>
      </c>
      <c r="W6" s="176" t="s">
        <v>142</v>
      </c>
      <c r="X6" s="56" t="s">
        <v>283</v>
      </c>
      <c r="Y6" s="176" t="s">
        <v>142</v>
      </c>
      <c r="Z6" s="56" t="s">
        <v>283</v>
      </c>
      <c r="AA6" s="176" t="s">
        <v>142</v>
      </c>
      <c r="AB6" s="56" t="s">
        <v>283</v>
      </c>
      <c r="AC6" s="176" t="s">
        <v>141</v>
      </c>
      <c r="AD6" s="56" t="s">
        <v>283</v>
      </c>
      <c r="AE6" s="176" t="s">
        <v>142</v>
      </c>
      <c r="AF6" s="56" t="s">
        <v>283</v>
      </c>
      <c r="AG6" s="176" t="s">
        <v>141</v>
      </c>
      <c r="AH6" s="56" t="s">
        <v>283</v>
      </c>
      <c r="AI6" s="176" t="s">
        <v>142</v>
      </c>
      <c r="AJ6" s="56" t="s">
        <v>283</v>
      </c>
      <c r="AK6" s="176" t="s">
        <v>142</v>
      </c>
      <c r="AL6" s="56" t="s">
        <v>283</v>
      </c>
      <c r="AM6" s="176" t="s">
        <v>300</v>
      </c>
    </row>
    <row r="7" spans="1:39" s="9" customFormat="1" ht="21" customHeight="1">
      <c r="A7" s="32" t="s">
        <v>4</v>
      </c>
      <c r="B7" s="57"/>
      <c r="C7" s="58"/>
      <c r="D7" s="35" t="s">
        <v>5</v>
      </c>
      <c r="E7" s="36">
        <f aca="true" t="shared" si="0" ref="E7:K7">SUM(E8,E10,E12)</f>
        <v>302600</v>
      </c>
      <c r="F7" s="36">
        <f t="shared" si="0"/>
        <v>25000</v>
      </c>
      <c r="G7" s="36">
        <f t="shared" si="0"/>
        <v>327600</v>
      </c>
      <c r="H7" s="36">
        <f t="shared" si="0"/>
        <v>0</v>
      </c>
      <c r="I7" s="36">
        <f t="shared" si="0"/>
        <v>327600</v>
      </c>
      <c r="J7" s="36">
        <f t="shared" si="0"/>
        <v>0</v>
      </c>
      <c r="K7" s="36">
        <f t="shared" si="0"/>
        <v>327600</v>
      </c>
      <c r="L7" s="36">
        <f>SUM(L8,L10,L12)</f>
        <v>0</v>
      </c>
      <c r="M7" s="36">
        <f>SUM(M8,M10,M12)</f>
        <v>327600</v>
      </c>
      <c r="N7" s="36">
        <f>SUM(N8,N10,N12)</f>
        <v>0</v>
      </c>
      <c r="O7" s="36">
        <f>SUM(O8,O10,O12)</f>
        <v>327600</v>
      </c>
      <c r="P7" s="36">
        <f>SUM(P8,P10,P12)</f>
        <v>0</v>
      </c>
      <c r="Q7" s="36">
        <f aca="true" t="shared" si="1" ref="Q7:W7">SUM(Q8,Q10,Q12,Q16)</f>
        <v>327600</v>
      </c>
      <c r="R7" s="36">
        <f t="shared" si="1"/>
        <v>771797</v>
      </c>
      <c r="S7" s="36">
        <f t="shared" si="1"/>
        <v>1099397</v>
      </c>
      <c r="T7" s="36">
        <f t="shared" si="1"/>
        <v>0</v>
      </c>
      <c r="U7" s="36">
        <f t="shared" si="1"/>
        <v>1099397</v>
      </c>
      <c r="V7" s="36">
        <f t="shared" si="1"/>
        <v>-250000</v>
      </c>
      <c r="W7" s="36">
        <f t="shared" si="1"/>
        <v>849397</v>
      </c>
      <c r="X7" s="36">
        <f aca="true" t="shared" si="2" ref="X7:AC7">SUM(X8,X10,X12,X16)</f>
        <v>0</v>
      </c>
      <c r="Y7" s="36">
        <f t="shared" si="2"/>
        <v>849397</v>
      </c>
      <c r="Z7" s="36">
        <f t="shared" si="2"/>
        <v>0</v>
      </c>
      <c r="AA7" s="36">
        <f t="shared" si="2"/>
        <v>849397</v>
      </c>
      <c r="AB7" s="36">
        <f t="shared" si="2"/>
        <v>0</v>
      </c>
      <c r="AC7" s="36">
        <f t="shared" si="2"/>
        <v>849397</v>
      </c>
      <c r="AD7" s="36">
        <f aca="true" t="shared" si="3" ref="AD7:AI7">SUM(AD8,AD10,AD12,AD16)</f>
        <v>0</v>
      </c>
      <c r="AE7" s="36">
        <f t="shared" si="3"/>
        <v>849397</v>
      </c>
      <c r="AF7" s="36">
        <f t="shared" si="3"/>
        <v>0</v>
      </c>
      <c r="AG7" s="36">
        <f t="shared" si="3"/>
        <v>849397</v>
      </c>
      <c r="AH7" s="36">
        <f t="shared" si="3"/>
        <v>0</v>
      </c>
      <c r="AI7" s="36">
        <f t="shared" si="3"/>
        <v>849397</v>
      </c>
      <c r="AJ7" s="36">
        <f>SUM(AJ8,AJ10,AJ12,AJ16)</f>
        <v>0</v>
      </c>
      <c r="AK7" s="36">
        <f>SUM(AK8,AK10,AK12,AK16)</f>
        <v>849397</v>
      </c>
      <c r="AL7" s="36">
        <f>SUM(AL8,AL10,AL12,AL16)</f>
        <v>297577</v>
      </c>
      <c r="AM7" s="36">
        <f>SUM(AM8,AM10,AM12,AM16)</f>
        <v>1146974</v>
      </c>
    </row>
    <row r="8" spans="1:39" s="122" customFormat="1" ht="21" customHeight="1">
      <c r="A8" s="64"/>
      <c r="B8" s="79" t="s">
        <v>254</v>
      </c>
      <c r="C8" s="67"/>
      <c r="D8" s="37" t="s">
        <v>255</v>
      </c>
      <c r="E8" s="78">
        <f aca="true" t="shared" si="4" ref="E8:AM8">SUM(E9)</f>
        <v>45000</v>
      </c>
      <c r="F8" s="78">
        <f t="shared" si="4"/>
        <v>0</v>
      </c>
      <c r="G8" s="78">
        <f t="shared" si="4"/>
        <v>45000</v>
      </c>
      <c r="H8" s="78">
        <f t="shared" si="4"/>
        <v>0</v>
      </c>
      <c r="I8" s="78">
        <f t="shared" si="4"/>
        <v>45000</v>
      </c>
      <c r="J8" s="78">
        <f t="shared" si="4"/>
        <v>0</v>
      </c>
      <c r="K8" s="78">
        <f t="shared" si="4"/>
        <v>45000</v>
      </c>
      <c r="L8" s="78">
        <f t="shared" si="4"/>
        <v>0</v>
      </c>
      <c r="M8" s="78">
        <f t="shared" si="4"/>
        <v>45000</v>
      </c>
      <c r="N8" s="78">
        <f t="shared" si="4"/>
        <v>0</v>
      </c>
      <c r="O8" s="78">
        <f t="shared" si="4"/>
        <v>45000</v>
      </c>
      <c r="P8" s="78">
        <f t="shared" si="4"/>
        <v>0</v>
      </c>
      <c r="Q8" s="78">
        <f t="shared" si="4"/>
        <v>45000</v>
      </c>
      <c r="R8" s="78">
        <f t="shared" si="4"/>
        <v>0</v>
      </c>
      <c r="S8" s="78">
        <f t="shared" si="4"/>
        <v>45000</v>
      </c>
      <c r="T8" s="78">
        <f t="shared" si="4"/>
        <v>0</v>
      </c>
      <c r="U8" s="78">
        <f t="shared" si="4"/>
        <v>45000</v>
      </c>
      <c r="V8" s="78">
        <f t="shared" si="4"/>
        <v>0</v>
      </c>
      <c r="W8" s="78">
        <f t="shared" si="4"/>
        <v>45000</v>
      </c>
      <c r="X8" s="78">
        <f t="shared" si="4"/>
        <v>0</v>
      </c>
      <c r="Y8" s="78">
        <f t="shared" si="4"/>
        <v>45000</v>
      </c>
      <c r="Z8" s="78">
        <f t="shared" si="4"/>
        <v>0</v>
      </c>
      <c r="AA8" s="78">
        <f t="shared" si="4"/>
        <v>45000</v>
      </c>
      <c r="AB8" s="78">
        <f t="shared" si="4"/>
        <v>0</v>
      </c>
      <c r="AC8" s="78">
        <f t="shared" si="4"/>
        <v>45000</v>
      </c>
      <c r="AD8" s="78">
        <f t="shared" si="4"/>
        <v>0</v>
      </c>
      <c r="AE8" s="78">
        <f t="shared" si="4"/>
        <v>45000</v>
      </c>
      <c r="AF8" s="78">
        <f t="shared" si="4"/>
        <v>0</v>
      </c>
      <c r="AG8" s="78">
        <f t="shared" si="4"/>
        <v>45000</v>
      </c>
      <c r="AH8" s="78">
        <f t="shared" si="4"/>
        <v>0</v>
      </c>
      <c r="AI8" s="78">
        <f t="shared" si="4"/>
        <v>45000</v>
      </c>
      <c r="AJ8" s="78">
        <f t="shared" si="4"/>
        <v>0</v>
      </c>
      <c r="AK8" s="78">
        <f t="shared" si="4"/>
        <v>45000</v>
      </c>
      <c r="AL8" s="78">
        <f t="shared" si="4"/>
        <v>0</v>
      </c>
      <c r="AM8" s="78">
        <f t="shared" si="4"/>
        <v>45000</v>
      </c>
    </row>
    <row r="9" spans="1:39" s="122" customFormat="1" ht="48">
      <c r="A9" s="64"/>
      <c r="B9" s="254"/>
      <c r="C9" s="67">
        <v>2830</v>
      </c>
      <c r="D9" s="37" t="s">
        <v>282</v>
      </c>
      <c r="E9" s="78">
        <v>45000</v>
      </c>
      <c r="F9" s="78"/>
      <c r="G9" s="78">
        <f>SUM(E9:F9)</f>
        <v>45000</v>
      </c>
      <c r="H9" s="78"/>
      <c r="I9" s="78">
        <f>SUM(G9:H9)</f>
        <v>45000</v>
      </c>
      <c r="J9" s="78"/>
      <c r="K9" s="78">
        <f>SUM(I9:J9)</f>
        <v>45000</v>
      </c>
      <c r="L9" s="78"/>
      <c r="M9" s="78">
        <f>SUM(K9:L9)</f>
        <v>45000</v>
      </c>
      <c r="N9" s="78"/>
      <c r="O9" s="78">
        <f>SUM(M9:N9)</f>
        <v>45000</v>
      </c>
      <c r="P9" s="78"/>
      <c r="Q9" s="78">
        <f>SUM(O9:P9)</f>
        <v>45000</v>
      </c>
      <c r="R9" s="78"/>
      <c r="S9" s="78">
        <f>SUM(Q9:R9)</f>
        <v>45000</v>
      </c>
      <c r="T9" s="78"/>
      <c r="U9" s="78">
        <f>SUM(S9:T9)</f>
        <v>45000</v>
      </c>
      <c r="V9" s="78"/>
      <c r="W9" s="78">
        <f>SUM(U9:V9)</f>
        <v>45000</v>
      </c>
      <c r="X9" s="78"/>
      <c r="Y9" s="78">
        <f>SUM(W9:X9)</f>
        <v>45000</v>
      </c>
      <c r="Z9" s="78"/>
      <c r="AA9" s="78">
        <f>SUM(Y9:Z9)</f>
        <v>45000</v>
      </c>
      <c r="AB9" s="78"/>
      <c r="AC9" s="78">
        <f>SUM(AA9:AB9)</f>
        <v>45000</v>
      </c>
      <c r="AD9" s="78"/>
      <c r="AE9" s="78">
        <f>SUM(AC9:AD9)</f>
        <v>45000</v>
      </c>
      <c r="AF9" s="78"/>
      <c r="AG9" s="78">
        <f>SUM(AE9:AF9)</f>
        <v>45000</v>
      </c>
      <c r="AH9" s="78"/>
      <c r="AI9" s="78">
        <f>SUM(AG9:AH9)</f>
        <v>45000</v>
      </c>
      <c r="AJ9" s="78"/>
      <c r="AK9" s="78">
        <f>SUM(AI9:AJ9)</f>
        <v>45000</v>
      </c>
      <c r="AL9" s="78"/>
      <c r="AM9" s="78">
        <f>SUM(AK9:AL9)</f>
        <v>45000</v>
      </c>
    </row>
    <row r="10" spans="1:39" s="23" customFormat="1" ht="21" customHeight="1">
      <c r="A10" s="64"/>
      <c r="B10" s="79" t="s">
        <v>69</v>
      </c>
      <c r="C10" s="67"/>
      <c r="D10" s="37" t="s">
        <v>70</v>
      </c>
      <c r="E10" s="78">
        <f aca="true" t="shared" si="5" ref="E10:AM10">SUM(E11)</f>
        <v>7600</v>
      </c>
      <c r="F10" s="78">
        <f t="shared" si="5"/>
        <v>0</v>
      </c>
      <c r="G10" s="78">
        <f t="shared" si="5"/>
        <v>7600</v>
      </c>
      <c r="H10" s="78">
        <f t="shared" si="5"/>
        <v>0</v>
      </c>
      <c r="I10" s="78">
        <f t="shared" si="5"/>
        <v>7600</v>
      </c>
      <c r="J10" s="78">
        <f t="shared" si="5"/>
        <v>0</v>
      </c>
      <c r="K10" s="78">
        <f t="shared" si="5"/>
        <v>7600</v>
      </c>
      <c r="L10" s="78">
        <f t="shared" si="5"/>
        <v>0</v>
      </c>
      <c r="M10" s="78">
        <f t="shared" si="5"/>
        <v>7600</v>
      </c>
      <c r="N10" s="78">
        <f t="shared" si="5"/>
        <v>0</v>
      </c>
      <c r="O10" s="78">
        <f t="shared" si="5"/>
        <v>7600</v>
      </c>
      <c r="P10" s="78">
        <f t="shared" si="5"/>
        <v>0</v>
      </c>
      <c r="Q10" s="78">
        <f t="shared" si="5"/>
        <v>7600</v>
      </c>
      <c r="R10" s="78">
        <f t="shared" si="5"/>
        <v>0</v>
      </c>
      <c r="S10" s="78">
        <f t="shared" si="5"/>
        <v>7600</v>
      </c>
      <c r="T10" s="78">
        <f t="shared" si="5"/>
        <v>0</v>
      </c>
      <c r="U10" s="78">
        <f t="shared" si="5"/>
        <v>7600</v>
      </c>
      <c r="V10" s="78">
        <f t="shared" si="5"/>
        <v>0</v>
      </c>
      <c r="W10" s="78">
        <f t="shared" si="5"/>
        <v>7600</v>
      </c>
      <c r="X10" s="78">
        <f t="shared" si="5"/>
        <v>0</v>
      </c>
      <c r="Y10" s="78">
        <f t="shared" si="5"/>
        <v>7600</v>
      </c>
      <c r="Z10" s="78">
        <f t="shared" si="5"/>
        <v>0</v>
      </c>
      <c r="AA10" s="78">
        <f t="shared" si="5"/>
        <v>7600</v>
      </c>
      <c r="AB10" s="78">
        <f t="shared" si="5"/>
        <v>0</v>
      </c>
      <c r="AC10" s="78">
        <f t="shared" si="5"/>
        <v>7600</v>
      </c>
      <c r="AD10" s="78">
        <f t="shared" si="5"/>
        <v>0</v>
      </c>
      <c r="AE10" s="78">
        <f t="shared" si="5"/>
        <v>7600</v>
      </c>
      <c r="AF10" s="78">
        <f t="shared" si="5"/>
        <v>0</v>
      </c>
      <c r="AG10" s="78">
        <f t="shared" si="5"/>
        <v>7600</v>
      </c>
      <c r="AH10" s="78">
        <f t="shared" si="5"/>
        <v>0</v>
      </c>
      <c r="AI10" s="78">
        <f t="shared" si="5"/>
        <v>7600</v>
      </c>
      <c r="AJ10" s="78">
        <f t="shared" si="5"/>
        <v>0</v>
      </c>
      <c r="AK10" s="78">
        <f t="shared" si="5"/>
        <v>7600</v>
      </c>
      <c r="AL10" s="78">
        <f t="shared" si="5"/>
        <v>0</v>
      </c>
      <c r="AM10" s="78">
        <f t="shared" si="5"/>
        <v>7600</v>
      </c>
    </row>
    <row r="11" spans="1:39" s="23" customFormat="1" ht="36">
      <c r="A11" s="80"/>
      <c r="B11" s="81"/>
      <c r="C11" s="67">
        <v>2850</v>
      </c>
      <c r="D11" s="37" t="s">
        <v>301</v>
      </c>
      <c r="E11" s="78">
        <v>7600</v>
      </c>
      <c r="F11" s="78"/>
      <c r="G11" s="78">
        <f>SUM(E11:F11)</f>
        <v>7600</v>
      </c>
      <c r="H11" s="78"/>
      <c r="I11" s="78">
        <f>SUM(G11:H11)</f>
        <v>7600</v>
      </c>
      <c r="J11" s="78"/>
      <c r="K11" s="78">
        <f>SUM(I11:J11)</f>
        <v>7600</v>
      </c>
      <c r="L11" s="78"/>
      <c r="M11" s="78">
        <f>SUM(K11:L11)</f>
        <v>7600</v>
      </c>
      <c r="N11" s="78"/>
      <c r="O11" s="78">
        <f>SUM(M11:N11)</f>
        <v>7600</v>
      </c>
      <c r="P11" s="78"/>
      <c r="Q11" s="78">
        <f>SUM(O11:P11)</f>
        <v>7600</v>
      </c>
      <c r="R11" s="78"/>
      <c r="S11" s="78">
        <f>SUM(Q11:R11)</f>
        <v>7600</v>
      </c>
      <c r="T11" s="78"/>
      <c r="U11" s="78">
        <f>SUM(S11:T11)</f>
        <v>7600</v>
      </c>
      <c r="V11" s="78"/>
      <c r="W11" s="78">
        <f>SUM(U11:V11)</f>
        <v>7600</v>
      </c>
      <c r="X11" s="78"/>
      <c r="Y11" s="78">
        <f>SUM(W11:X11)</f>
        <v>7600</v>
      </c>
      <c r="Z11" s="78"/>
      <c r="AA11" s="78">
        <f>SUM(Y11:Z11)</f>
        <v>7600</v>
      </c>
      <c r="AB11" s="78"/>
      <c r="AC11" s="78">
        <f>SUM(AA11:AB11)</f>
        <v>7600</v>
      </c>
      <c r="AD11" s="78"/>
      <c r="AE11" s="78">
        <f>SUM(AC11:AD11)</f>
        <v>7600</v>
      </c>
      <c r="AF11" s="78"/>
      <c r="AG11" s="78">
        <f>SUM(AE11:AF11)</f>
        <v>7600</v>
      </c>
      <c r="AH11" s="78"/>
      <c r="AI11" s="78">
        <f>SUM(AG11:AH11)</f>
        <v>7600</v>
      </c>
      <c r="AJ11" s="78"/>
      <c r="AK11" s="78">
        <f>SUM(AI11:AJ11)</f>
        <v>7600</v>
      </c>
      <c r="AL11" s="78"/>
      <c r="AM11" s="78">
        <f>SUM(AK11:AL11)</f>
        <v>7600</v>
      </c>
    </row>
    <row r="12" spans="1:39" s="23" customFormat="1" ht="24" customHeight="1">
      <c r="A12" s="80"/>
      <c r="B12" s="81" t="s">
        <v>259</v>
      </c>
      <c r="C12" s="67"/>
      <c r="D12" s="37" t="s">
        <v>273</v>
      </c>
      <c r="E12" s="78">
        <f aca="true" t="shared" si="6" ref="E12:J12">SUM(E14)</f>
        <v>250000</v>
      </c>
      <c r="F12" s="78">
        <f t="shared" si="6"/>
        <v>25000</v>
      </c>
      <c r="G12" s="78">
        <f t="shared" si="6"/>
        <v>275000</v>
      </c>
      <c r="H12" s="78">
        <f t="shared" si="6"/>
        <v>0</v>
      </c>
      <c r="I12" s="78">
        <f t="shared" si="6"/>
        <v>275000</v>
      </c>
      <c r="J12" s="78">
        <f t="shared" si="6"/>
        <v>0</v>
      </c>
      <c r="K12" s="78">
        <f>SUM(K13:K14)</f>
        <v>275000</v>
      </c>
      <c r="L12" s="78">
        <f>SUM(L13:L14)</f>
        <v>0</v>
      </c>
      <c r="M12" s="78">
        <f aca="true" t="shared" si="7" ref="M12:S12">SUM(M13:M15)</f>
        <v>275000</v>
      </c>
      <c r="N12" s="78">
        <f t="shared" si="7"/>
        <v>0</v>
      </c>
      <c r="O12" s="78">
        <f t="shared" si="7"/>
        <v>275000</v>
      </c>
      <c r="P12" s="78">
        <f t="shared" si="7"/>
        <v>0</v>
      </c>
      <c r="Q12" s="78">
        <f t="shared" si="7"/>
        <v>275000</v>
      </c>
      <c r="R12" s="78">
        <f t="shared" si="7"/>
        <v>500000</v>
      </c>
      <c r="S12" s="78">
        <f t="shared" si="7"/>
        <v>775000</v>
      </c>
      <c r="T12" s="78">
        <f aca="true" t="shared" si="8" ref="T12:Y12">SUM(T13:T15)</f>
        <v>0</v>
      </c>
      <c r="U12" s="78">
        <f t="shared" si="8"/>
        <v>775000</v>
      </c>
      <c r="V12" s="78">
        <f t="shared" si="8"/>
        <v>-250000</v>
      </c>
      <c r="W12" s="78">
        <f t="shared" si="8"/>
        <v>525000</v>
      </c>
      <c r="X12" s="78">
        <f t="shared" si="8"/>
        <v>0</v>
      </c>
      <c r="Y12" s="78">
        <f t="shared" si="8"/>
        <v>525000</v>
      </c>
      <c r="Z12" s="78">
        <f aca="true" t="shared" si="9" ref="Z12:AE12">SUM(Z13:Z15)</f>
        <v>0</v>
      </c>
      <c r="AA12" s="78">
        <f t="shared" si="9"/>
        <v>525000</v>
      </c>
      <c r="AB12" s="78">
        <f t="shared" si="9"/>
        <v>0</v>
      </c>
      <c r="AC12" s="78">
        <f t="shared" si="9"/>
        <v>525000</v>
      </c>
      <c r="AD12" s="78">
        <f t="shared" si="9"/>
        <v>0</v>
      </c>
      <c r="AE12" s="78">
        <f t="shared" si="9"/>
        <v>525000</v>
      </c>
      <c r="AF12" s="78">
        <f aca="true" t="shared" si="10" ref="AF12:AK12">SUM(AF13:AF15)</f>
        <v>0</v>
      </c>
      <c r="AG12" s="78">
        <f t="shared" si="10"/>
        <v>525000</v>
      </c>
      <c r="AH12" s="78">
        <f t="shared" si="10"/>
        <v>0</v>
      </c>
      <c r="AI12" s="78">
        <f t="shared" si="10"/>
        <v>525000</v>
      </c>
      <c r="AJ12" s="78">
        <f t="shared" si="10"/>
        <v>0</v>
      </c>
      <c r="AK12" s="78">
        <f t="shared" si="10"/>
        <v>525000</v>
      </c>
      <c r="AL12" s="78">
        <f>SUM(AL13:AL15)</f>
        <v>0</v>
      </c>
      <c r="AM12" s="78">
        <f>SUM(AM13:AM15)</f>
        <v>525000</v>
      </c>
    </row>
    <row r="13" spans="1:42" s="23" customFormat="1" ht="24" customHeight="1">
      <c r="A13" s="80"/>
      <c r="B13" s="81"/>
      <c r="C13" s="67">
        <v>4170</v>
      </c>
      <c r="D13" s="37" t="s">
        <v>353</v>
      </c>
      <c r="E13" s="78"/>
      <c r="F13" s="78"/>
      <c r="G13" s="78"/>
      <c r="H13" s="78"/>
      <c r="I13" s="78"/>
      <c r="J13" s="78"/>
      <c r="K13" s="78">
        <v>0</v>
      </c>
      <c r="L13" s="78">
        <v>7000</v>
      </c>
      <c r="M13" s="78">
        <f>SUM(K13:L13)</f>
        <v>7000</v>
      </c>
      <c r="N13" s="78"/>
      <c r="O13" s="78">
        <f>SUM(M13:N13)</f>
        <v>7000</v>
      </c>
      <c r="P13" s="78"/>
      <c r="Q13" s="78">
        <f>SUM(O13:P13)</f>
        <v>7000</v>
      </c>
      <c r="R13" s="78"/>
      <c r="S13" s="78">
        <f>SUM(Q13:R13)</f>
        <v>7000</v>
      </c>
      <c r="T13" s="78"/>
      <c r="U13" s="78">
        <f>SUM(S13:T13)</f>
        <v>7000</v>
      </c>
      <c r="V13" s="78"/>
      <c r="W13" s="78">
        <f>SUM(U13:V13)</f>
        <v>7000</v>
      </c>
      <c r="X13" s="78"/>
      <c r="Y13" s="78">
        <f>SUM(W13:X13)</f>
        <v>7000</v>
      </c>
      <c r="Z13" s="78"/>
      <c r="AA13" s="78">
        <f>SUM(Y13:Z13)</f>
        <v>7000</v>
      </c>
      <c r="AB13" s="78"/>
      <c r="AC13" s="78">
        <f>SUM(AA13:AB13)</f>
        <v>7000</v>
      </c>
      <c r="AD13" s="78"/>
      <c r="AE13" s="78">
        <f>SUM(AC13:AD13)</f>
        <v>7000</v>
      </c>
      <c r="AF13" s="78"/>
      <c r="AG13" s="78">
        <f>SUM(AE13:AF13)</f>
        <v>7000</v>
      </c>
      <c r="AH13" s="78"/>
      <c r="AI13" s="78">
        <f>SUM(AG13:AH13)</f>
        <v>7000</v>
      </c>
      <c r="AJ13" s="78"/>
      <c r="AK13" s="78">
        <f>SUM(AI13:AJ13)</f>
        <v>7000</v>
      </c>
      <c r="AL13" s="78"/>
      <c r="AM13" s="78">
        <f>SUM(AK13:AL13)</f>
        <v>7000</v>
      </c>
      <c r="AN13" s="113"/>
      <c r="AO13" s="113"/>
      <c r="AP13" s="113"/>
    </row>
    <row r="14" spans="1:39" s="23" customFormat="1" ht="24" customHeight="1">
      <c r="A14" s="80"/>
      <c r="B14" s="81"/>
      <c r="C14" s="67">
        <v>4300</v>
      </c>
      <c r="D14" s="37" t="s">
        <v>78</v>
      </c>
      <c r="E14" s="78">
        <v>250000</v>
      </c>
      <c r="F14" s="78">
        <v>25000</v>
      </c>
      <c r="G14" s="78">
        <f>SUM(E14:F14)</f>
        <v>275000</v>
      </c>
      <c r="H14" s="78"/>
      <c r="I14" s="78">
        <f>SUM(G14:H14)</f>
        <v>275000</v>
      </c>
      <c r="J14" s="78"/>
      <c r="K14" s="78">
        <f>SUM(I14:J14)</f>
        <v>275000</v>
      </c>
      <c r="L14" s="78">
        <v>-7000</v>
      </c>
      <c r="M14" s="78">
        <f>SUM(K14:L14)</f>
        <v>268000</v>
      </c>
      <c r="N14" s="78"/>
      <c r="O14" s="78">
        <f>SUM(M14:N14)</f>
        <v>268000</v>
      </c>
      <c r="P14" s="78"/>
      <c r="Q14" s="78">
        <f>SUM(O14:P14)</f>
        <v>268000</v>
      </c>
      <c r="R14" s="78">
        <v>-234408</v>
      </c>
      <c r="S14" s="78">
        <f>SUM(Q14:R14)</f>
        <v>33592</v>
      </c>
      <c r="T14" s="78"/>
      <c r="U14" s="78">
        <f>SUM(S14:T14)</f>
        <v>33592</v>
      </c>
      <c r="V14" s="78"/>
      <c r="W14" s="78">
        <f>SUM(U14:V14)</f>
        <v>33592</v>
      </c>
      <c r="X14" s="78"/>
      <c r="Y14" s="78">
        <f>SUM(W14:X14)</f>
        <v>33592</v>
      </c>
      <c r="Z14" s="78"/>
      <c r="AA14" s="78">
        <f>SUM(Y14:Z14)</f>
        <v>33592</v>
      </c>
      <c r="AB14" s="78"/>
      <c r="AC14" s="78">
        <f>SUM(AA14:AB14)</f>
        <v>33592</v>
      </c>
      <c r="AD14" s="78"/>
      <c r="AE14" s="78">
        <f>SUM(AC14:AD14)</f>
        <v>33592</v>
      </c>
      <c r="AF14" s="78"/>
      <c r="AG14" s="78">
        <f>SUM(AE14:AF14)</f>
        <v>33592</v>
      </c>
      <c r="AH14" s="78"/>
      <c r="AI14" s="78">
        <f>SUM(AG14:AH14)</f>
        <v>33592</v>
      </c>
      <c r="AJ14" s="78"/>
      <c r="AK14" s="78">
        <f>SUM(AI14:AJ14)</f>
        <v>33592</v>
      </c>
      <c r="AL14" s="78"/>
      <c r="AM14" s="78">
        <f>SUM(AK14:AL14)</f>
        <v>33592</v>
      </c>
    </row>
    <row r="15" spans="1:39" s="23" customFormat="1" ht="24" customHeight="1">
      <c r="A15" s="80"/>
      <c r="B15" s="81"/>
      <c r="C15" s="67">
        <v>6050</v>
      </c>
      <c r="D15" s="37" t="s">
        <v>72</v>
      </c>
      <c r="E15" s="78"/>
      <c r="F15" s="78"/>
      <c r="G15" s="78"/>
      <c r="H15" s="78"/>
      <c r="I15" s="78"/>
      <c r="J15" s="78"/>
      <c r="K15" s="78"/>
      <c r="L15" s="78"/>
      <c r="M15" s="78">
        <v>0</v>
      </c>
      <c r="N15" s="78"/>
      <c r="O15" s="78">
        <f>SUM(M15:N15)</f>
        <v>0</v>
      </c>
      <c r="P15" s="78"/>
      <c r="Q15" s="78">
        <f>SUM(O15:P15)</f>
        <v>0</v>
      </c>
      <c r="R15" s="78">
        <v>734408</v>
      </c>
      <c r="S15" s="78">
        <f>SUM(Q15:R15)</f>
        <v>734408</v>
      </c>
      <c r="T15" s="78"/>
      <c r="U15" s="78">
        <f>SUM(S15:T15)</f>
        <v>734408</v>
      </c>
      <c r="V15" s="78">
        <v>-250000</v>
      </c>
      <c r="W15" s="78">
        <f>SUM(U15:V15)</f>
        <v>484408</v>
      </c>
      <c r="X15" s="78"/>
      <c r="Y15" s="78">
        <f>SUM(W15:X15)</f>
        <v>484408</v>
      </c>
      <c r="Z15" s="78"/>
      <c r="AA15" s="78">
        <f>SUM(Y15:Z15)</f>
        <v>484408</v>
      </c>
      <c r="AB15" s="78"/>
      <c r="AC15" s="78">
        <f>SUM(AA15:AB15)</f>
        <v>484408</v>
      </c>
      <c r="AD15" s="78"/>
      <c r="AE15" s="78">
        <f>SUM(AC15:AD15)</f>
        <v>484408</v>
      </c>
      <c r="AF15" s="78"/>
      <c r="AG15" s="78">
        <f>SUM(AE15:AF15)</f>
        <v>484408</v>
      </c>
      <c r="AH15" s="78"/>
      <c r="AI15" s="78">
        <f>SUM(AG15:AH15)</f>
        <v>484408</v>
      </c>
      <c r="AJ15" s="78"/>
      <c r="AK15" s="78">
        <f>SUM(AI15:AJ15)</f>
        <v>484408</v>
      </c>
      <c r="AL15" s="78"/>
      <c r="AM15" s="78">
        <f>SUM(AK15:AL15)</f>
        <v>484408</v>
      </c>
    </row>
    <row r="16" spans="1:39" s="23" customFormat="1" ht="24" customHeight="1">
      <c r="A16" s="80"/>
      <c r="B16" s="81" t="s">
        <v>227</v>
      </c>
      <c r="C16" s="67"/>
      <c r="D16" s="37" t="s">
        <v>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>
        <f aca="true" t="shared" si="11" ref="Q16:W16">SUM(Q17:Q24)</f>
        <v>0</v>
      </c>
      <c r="R16" s="78">
        <f t="shared" si="11"/>
        <v>271797</v>
      </c>
      <c r="S16" s="78">
        <f t="shared" si="11"/>
        <v>271797</v>
      </c>
      <c r="T16" s="78">
        <f t="shared" si="11"/>
        <v>0</v>
      </c>
      <c r="U16" s="78">
        <f t="shared" si="11"/>
        <v>271797</v>
      </c>
      <c r="V16" s="78">
        <f t="shared" si="11"/>
        <v>0</v>
      </c>
      <c r="W16" s="78">
        <f t="shared" si="11"/>
        <v>271797</v>
      </c>
      <c r="X16" s="78">
        <f aca="true" t="shared" si="12" ref="X16:AC16">SUM(X17:X24)</f>
        <v>0</v>
      </c>
      <c r="Y16" s="78">
        <f t="shared" si="12"/>
        <v>271797</v>
      </c>
      <c r="Z16" s="78">
        <f t="shared" si="12"/>
        <v>0</v>
      </c>
      <c r="AA16" s="78">
        <f t="shared" si="12"/>
        <v>271797</v>
      </c>
      <c r="AB16" s="78">
        <f t="shared" si="12"/>
        <v>0</v>
      </c>
      <c r="AC16" s="78">
        <f t="shared" si="12"/>
        <v>271797</v>
      </c>
      <c r="AD16" s="78">
        <f aca="true" t="shared" si="13" ref="AD16:AI16">SUM(AD17:AD24)</f>
        <v>0</v>
      </c>
      <c r="AE16" s="78">
        <f t="shared" si="13"/>
        <v>271797</v>
      </c>
      <c r="AF16" s="78">
        <f t="shared" si="13"/>
        <v>0</v>
      </c>
      <c r="AG16" s="78">
        <f t="shared" si="13"/>
        <v>271797</v>
      </c>
      <c r="AH16" s="78">
        <f t="shared" si="13"/>
        <v>0</v>
      </c>
      <c r="AI16" s="78">
        <f t="shared" si="13"/>
        <v>271797</v>
      </c>
      <c r="AJ16" s="78">
        <f>SUM(AJ17:AJ24)</f>
        <v>0</v>
      </c>
      <c r="AK16" s="78">
        <f>SUM(AK17:AK24)</f>
        <v>271797</v>
      </c>
      <c r="AL16" s="78">
        <f>SUM(AL17:AL24)</f>
        <v>297577</v>
      </c>
      <c r="AM16" s="78">
        <f>SUM(AM17:AM24)</f>
        <v>569374</v>
      </c>
    </row>
    <row r="17" spans="1:42" s="23" customFormat="1" ht="24" customHeight="1">
      <c r="A17" s="80"/>
      <c r="B17" s="81"/>
      <c r="C17" s="67">
        <v>4010</v>
      </c>
      <c r="D17" s="37" t="s">
        <v>83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0</v>
      </c>
      <c r="R17" s="78">
        <v>3378</v>
      </c>
      <c r="S17" s="78">
        <f>SUM(Q17:R17)</f>
        <v>3378</v>
      </c>
      <c r="T17" s="78"/>
      <c r="U17" s="78">
        <f>SUM(S17:T17)</f>
        <v>3378</v>
      </c>
      <c r="V17" s="78"/>
      <c r="W17" s="78">
        <f>SUM(U17:V17)</f>
        <v>3378</v>
      </c>
      <c r="X17" s="78"/>
      <c r="Y17" s="78">
        <f>SUM(W17:X17)</f>
        <v>3378</v>
      </c>
      <c r="Z17" s="78"/>
      <c r="AA17" s="78">
        <f>SUM(Y17:Z17)</f>
        <v>3378</v>
      </c>
      <c r="AB17" s="78"/>
      <c r="AC17" s="78">
        <f>SUM(AA17:AB17)</f>
        <v>3378</v>
      </c>
      <c r="AD17" s="78"/>
      <c r="AE17" s="78">
        <f>SUM(AC17:AD17)</f>
        <v>3378</v>
      </c>
      <c r="AF17" s="78"/>
      <c r="AG17" s="78">
        <f>SUM(AE17:AF17)</f>
        <v>3378</v>
      </c>
      <c r="AH17" s="78"/>
      <c r="AI17" s="78">
        <f>SUM(AG17:AH17)</f>
        <v>3378</v>
      </c>
      <c r="AJ17" s="78"/>
      <c r="AK17" s="78">
        <f>SUM(AI17:AJ17)</f>
        <v>3378</v>
      </c>
      <c r="AL17" s="78">
        <v>3758</v>
      </c>
      <c r="AM17" s="78">
        <f>SUM(AK17:AL17)</f>
        <v>7136</v>
      </c>
      <c r="AN17" s="113"/>
      <c r="AO17" s="113"/>
      <c r="AP17" s="113"/>
    </row>
    <row r="18" spans="1:42" s="23" customFormat="1" ht="24" customHeight="1">
      <c r="A18" s="80"/>
      <c r="B18" s="81"/>
      <c r="C18" s="67">
        <v>4110</v>
      </c>
      <c r="D18" s="37" t="s">
        <v>85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>
        <v>0</v>
      </c>
      <c r="R18" s="78">
        <v>513</v>
      </c>
      <c r="S18" s="78">
        <f aca="true" t="shared" si="14" ref="S18:S24">SUM(Q18:R18)</f>
        <v>513</v>
      </c>
      <c r="T18" s="78"/>
      <c r="U18" s="78">
        <f aca="true" t="shared" si="15" ref="U18:U24">SUM(S18:T18)</f>
        <v>513</v>
      </c>
      <c r="V18" s="78"/>
      <c r="W18" s="78">
        <f aca="true" t="shared" si="16" ref="W18:W24">SUM(U18:V18)</f>
        <v>513</v>
      </c>
      <c r="X18" s="78"/>
      <c r="Y18" s="78">
        <f aca="true" t="shared" si="17" ref="Y18:Y24">SUM(W18:X18)</f>
        <v>513</v>
      </c>
      <c r="Z18" s="78"/>
      <c r="AA18" s="78">
        <f aca="true" t="shared" si="18" ref="AA18:AA24">SUM(Y18:Z18)</f>
        <v>513</v>
      </c>
      <c r="AB18" s="78"/>
      <c r="AC18" s="78">
        <f aca="true" t="shared" si="19" ref="AC18:AC24">SUM(AA18:AB18)</f>
        <v>513</v>
      </c>
      <c r="AD18" s="78"/>
      <c r="AE18" s="78">
        <f aca="true" t="shared" si="20" ref="AE18:AE24">SUM(AC18:AD18)</f>
        <v>513</v>
      </c>
      <c r="AF18" s="78"/>
      <c r="AG18" s="78">
        <f aca="true" t="shared" si="21" ref="AG18:AG24">SUM(AE18:AF18)</f>
        <v>513</v>
      </c>
      <c r="AH18" s="78"/>
      <c r="AI18" s="78">
        <f aca="true" t="shared" si="22" ref="AI18:AI24">SUM(AG18:AH18)</f>
        <v>513</v>
      </c>
      <c r="AJ18" s="78"/>
      <c r="AK18" s="78">
        <f aca="true" t="shared" si="23" ref="AK18:AK24">SUM(AI18:AJ18)</f>
        <v>513</v>
      </c>
      <c r="AL18" s="78">
        <v>572</v>
      </c>
      <c r="AM18" s="78">
        <f aca="true" t="shared" si="24" ref="AM18:AM24">SUM(AK18:AL18)</f>
        <v>1085</v>
      </c>
      <c r="AN18" s="113"/>
      <c r="AO18" s="113"/>
      <c r="AP18" s="113"/>
    </row>
    <row r="19" spans="1:42" s="23" customFormat="1" ht="24" customHeight="1">
      <c r="A19" s="80"/>
      <c r="B19" s="81"/>
      <c r="C19" s="67">
        <v>4120</v>
      </c>
      <c r="D19" s="37" t="s">
        <v>86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>
        <v>0</v>
      </c>
      <c r="R19" s="78">
        <v>82</v>
      </c>
      <c r="S19" s="78">
        <f t="shared" si="14"/>
        <v>82</v>
      </c>
      <c r="T19" s="78"/>
      <c r="U19" s="78">
        <f t="shared" si="15"/>
        <v>82</v>
      </c>
      <c r="V19" s="78"/>
      <c r="W19" s="78">
        <f t="shared" si="16"/>
        <v>82</v>
      </c>
      <c r="X19" s="78"/>
      <c r="Y19" s="78">
        <f t="shared" si="17"/>
        <v>82</v>
      </c>
      <c r="Z19" s="78"/>
      <c r="AA19" s="78">
        <f t="shared" si="18"/>
        <v>82</v>
      </c>
      <c r="AB19" s="78"/>
      <c r="AC19" s="78">
        <f t="shared" si="19"/>
        <v>82</v>
      </c>
      <c r="AD19" s="78"/>
      <c r="AE19" s="78">
        <f t="shared" si="20"/>
        <v>82</v>
      </c>
      <c r="AF19" s="78"/>
      <c r="AG19" s="78">
        <f t="shared" si="21"/>
        <v>82</v>
      </c>
      <c r="AH19" s="78"/>
      <c r="AI19" s="78">
        <f t="shared" si="22"/>
        <v>82</v>
      </c>
      <c r="AJ19" s="78"/>
      <c r="AK19" s="78">
        <f t="shared" si="23"/>
        <v>82</v>
      </c>
      <c r="AL19" s="78">
        <v>93</v>
      </c>
      <c r="AM19" s="78">
        <f t="shared" si="24"/>
        <v>175</v>
      </c>
      <c r="AN19" s="113"/>
      <c r="AO19" s="113"/>
      <c r="AP19" s="113"/>
    </row>
    <row r="20" spans="1:39" s="23" customFormat="1" ht="24" customHeight="1">
      <c r="A20" s="80"/>
      <c r="B20" s="81"/>
      <c r="C20" s="67">
        <v>4210</v>
      </c>
      <c r="D20" s="37" t="s">
        <v>71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>
        <v>0</v>
      </c>
      <c r="R20" s="78">
        <v>251</v>
      </c>
      <c r="S20" s="78">
        <f t="shared" si="14"/>
        <v>251</v>
      </c>
      <c r="T20" s="78"/>
      <c r="U20" s="78">
        <f t="shared" si="15"/>
        <v>251</v>
      </c>
      <c r="V20" s="78"/>
      <c r="W20" s="78">
        <f t="shared" si="16"/>
        <v>251</v>
      </c>
      <c r="X20" s="78"/>
      <c r="Y20" s="78">
        <f t="shared" si="17"/>
        <v>251</v>
      </c>
      <c r="Z20" s="78"/>
      <c r="AA20" s="78">
        <f t="shared" si="18"/>
        <v>251</v>
      </c>
      <c r="AB20" s="78"/>
      <c r="AC20" s="78">
        <f t="shared" si="19"/>
        <v>251</v>
      </c>
      <c r="AD20" s="78"/>
      <c r="AE20" s="78">
        <f t="shared" si="20"/>
        <v>251</v>
      </c>
      <c r="AF20" s="78"/>
      <c r="AG20" s="78">
        <f t="shared" si="21"/>
        <v>251</v>
      </c>
      <c r="AH20" s="78"/>
      <c r="AI20" s="78">
        <f t="shared" si="22"/>
        <v>251</v>
      </c>
      <c r="AJ20" s="78"/>
      <c r="AK20" s="78">
        <f t="shared" si="23"/>
        <v>251</v>
      </c>
      <c r="AL20" s="78">
        <v>36</v>
      </c>
      <c r="AM20" s="78">
        <f t="shared" si="24"/>
        <v>287</v>
      </c>
    </row>
    <row r="21" spans="1:39" s="23" customFormat="1" ht="24" customHeight="1">
      <c r="A21" s="80"/>
      <c r="B21" s="81"/>
      <c r="C21" s="67">
        <v>4300</v>
      </c>
      <c r="D21" s="37" t="s">
        <v>78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>
        <v>0</v>
      </c>
      <c r="R21" s="78">
        <v>822</v>
      </c>
      <c r="S21" s="78">
        <f t="shared" si="14"/>
        <v>822</v>
      </c>
      <c r="T21" s="78"/>
      <c r="U21" s="78">
        <f t="shared" si="15"/>
        <v>822</v>
      </c>
      <c r="V21" s="78"/>
      <c r="W21" s="78">
        <f t="shared" si="16"/>
        <v>822</v>
      </c>
      <c r="X21" s="78"/>
      <c r="Y21" s="78">
        <f t="shared" si="17"/>
        <v>822</v>
      </c>
      <c r="Z21" s="78"/>
      <c r="AA21" s="78">
        <f t="shared" si="18"/>
        <v>822</v>
      </c>
      <c r="AB21" s="78"/>
      <c r="AC21" s="78">
        <f t="shared" si="19"/>
        <v>822</v>
      </c>
      <c r="AD21" s="78"/>
      <c r="AE21" s="78">
        <f t="shared" si="20"/>
        <v>822</v>
      </c>
      <c r="AF21" s="78"/>
      <c r="AG21" s="78">
        <f t="shared" si="21"/>
        <v>822</v>
      </c>
      <c r="AH21" s="78"/>
      <c r="AI21" s="78">
        <f t="shared" si="22"/>
        <v>822</v>
      </c>
      <c r="AJ21" s="78"/>
      <c r="AK21" s="78">
        <f t="shared" si="23"/>
        <v>822</v>
      </c>
      <c r="AL21" s="78">
        <v>1094</v>
      </c>
      <c r="AM21" s="78">
        <f t="shared" si="24"/>
        <v>1916</v>
      </c>
    </row>
    <row r="22" spans="1:39" s="23" customFormat="1" ht="24" customHeight="1">
      <c r="A22" s="80"/>
      <c r="B22" s="81"/>
      <c r="C22" s="67">
        <v>4430</v>
      </c>
      <c r="D22" s="37" t="s">
        <v>93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>
        <v>0</v>
      </c>
      <c r="R22" s="78">
        <v>266467</v>
      </c>
      <c r="S22" s="78">
        <f t="shared" si="14"/>
        <v>266467</v>
      </c>
      <c r="T22" s="78"/>
      <c r="U22" s="78">
        <f t="shared" si="15"/>
        <v>266467</v>
      </c>
      <c r="V22" s="78"/>
      <c r="W22" s="78">
        <f t="shared" si="16"/>
        <v>266467</v>
      </c>
      <c r="X22" s="78"/>
      <c r="Y22" s="78">
        <f t="shared" si="17"/>
        <v>266467</v>
      </c>
      <c r="Z22" s="78"/>
      <c r="AA22" s="78">
        <f t="shared" si="18"/>
        <v>266467</v>
      </c>
      <c r="AB22" s="78"/>
      <c r="AC22" s="78">
        <f t="shared" si="19"/>
        <v>266467</v>
      </c>
      <c r="AD22" s="78"/>
      <c r="AE22" s="78">
        <f t="shared" si="20"/>
        <v>266467</v>
      </c>
      <c r="AF22" s="78"/>
      <c r="AG22" s="78">
        <f t="shared" si="21"/>
        <v>266467</v>
      </c>
      <c r="AH22" s="78"/>
      <c r="AI22" s="78">
        <f t="shared" si="22"/>
        <v>266467</v>
      </c>
      <c r="AJ22" s="78"/>
      <c r="AK22" s="78">
        <f t="shared" si="23"/>
        <v>266467</v>
      </c>
      <c r="AL22" s="78">
        <v>291742</v>
      </c>
      <c r="AM22" s="78">
        <f t="shared" si="24"/>
        <v>558209</v>
      </c>
    </row>
    <row r="23" spans="1:39" s="23" customFormat="1" ht="24" customHeight="1">
      <c r="A23" s="80"/>
      <c r="B23" s="81"/>
      <c r="C23" s="67">
        <v>4740</v>
      </c>
      <c r="D23" s="37" t="s">
        <v>249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>
        <v>0</v>
      </c>
      <c r="R23" s="78">
        <v>25</v>
      </c>
      <c r="S23" s="78">
        <f t="shared" si="14"/>
        <v>25</v>
      </c>
      <c r="T23" s="78"/>
      <c r="U23" s="78">
        <f t="shared" si="15"/>
        <v>25</v>
      </c>
      <c r="V23" s="78"/>
      <c r="W23" s="78">
        <f t="shared" si="16"/>
        <v>25</v>
      </c>
      <c r="X23" s="78"/>
      <c r="Y23" s="78">
        <f t="shared" si="17"/>
        <v>25</v>
      </c>
      <c r="Z23" s="78"/>
      <c r="AA23" s="78">
        <f t="shared" si="18"/>
        <v>25</v>
      </c>
      <c r="AB23" s="78"/>
      <c r="AC23" s="78">
        <f t="shared" si="19"/>
        <v>25</v>
      </c>
      <c r="AD23" s="78"/>
      <c r="AE23" s="78">
        <f t="shared" si="20"/>
        <v>25</v>
      </c>
      <c r="AF23" s="78"/>
      <c r="AG23" s="78">
        <f t="shared" si="21"/>
        <v>25</v>
      </c>
      <c r="AH23" s="78"/>
      <c r="AI23" s="78">
        <f t="shared" si="22"/>
        <v>25</v>
      </c>
      <c r="AJ23" s="78"/>
      <c r="AK23" s="78">
        <f t="shared" si="23"/>
        <v>25</v>
      </c>
      <c r="AL23" s="78">
        <v>25</v>
      </c>
      <c r="AM23" s="78">
        <f t="shared" si="24"/>
        <v>50</v>
      </c>
    </row>
    <row r="24" spans="1:39" s="23" customFormat="1" ht="24" customHeight="1">
      <c r="A24" s="80"/>
      <c r="B24" s="81"/>
      <c r="C24" s="67">
        <v>4750</v>
      </c>
      <c r="D24" s="37" t="s">
        <v>222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>
        <v>0</v>
      </c>
      <c r="R24" s="78">
        <v>259</v>
      </c>
      <c r="S24" s="78">
        <f t="shared" si="14"/>
        <v>259</v>
      </c>
      <c r="T24" s="78"/>
      <c r="U24" s="78">
        <f t="shared" si="15"/>
        <v>259</v>
      </c>
      <c r="V24" s="78"/>
      <c r="W24" s="78">
        <f t="shared" si="16"/>
        <v>259</v>
      </c>
      <c r="X24" s="78"/>
      <c r="Y24" s="78">
        <f t="shared" si="17"/>
        <v>259</v>
      </c>
      <c r="Z24" s="78"/>
      <c r="AA24" s="78">
        <f t="shared" si="18"/>
        <v>259</v>
      </c>
      <c r="AB24" s="78"/>
      <c r="AC24" s="78">
        <f t="shared" si="19"/>
        <v>259</v>
      </c>
      <c r="AD24" s="78"/>
      <c r="AE24" s="78">
        <f t="shared" si="20"/>
        <v>259</v>
      </c>
      <c r="AF24" s="78"/>
      <c r="AG24" s="78">
        <f t="shared" si="21"/>
        <v>259</v>
      </c>
      <c r="AH24" s="78"/>
      <c r="AI24" s="78">
        <f t="shared" si="22"/>
        <v>259</v>
      </c>
      <c r="AJ24" s="78"/>
      <c r="AK24" s="78">
        <f t="shared" si="23"/>
        <v>259</v>
      </c>
      <c r="AL24" s="78">
        <v>257</v>
      </c>
      <c r="AM24" s="78">
        <f t="shared" si="24"/>
        <v>516</v>
      </c>
    </row>
    <row r="25" spans="1:39" s="5" customFormat="1" ht="21" customHeight="1">
      <c r="A25" s="32" t="s">
        <v>73</v>
      </c>
      <c r="B25" s="33"/>
      <c r="C25" s="34"/>
      <c r="D25" s="35" t="s">
        <v>74</v>
      </c>
      <c r="E25" s="36">
        <f aca="true" t="shared" si="25" ref="E25:K25">E28</f>
        <v>1046197</v>
      </c>
      <c r="F25" s="36">
        <f t="shared" si="25"/>
        <v>1460000</v>
      </c>
      <c r="G25" s="36">
        <f t="shared" si="25"/>
        <v>2506197</v>
      </c>
      <c r="H25" s="36">
        <f t="shared" si="25"/>
        <v>0</v>
      </c>
      <c r="I25" s="36">
        <f t="shared" si="25"/>
        <v>2506197</v>
      </c>
      <c r="J25" s="36">
        <f t="shared" si="25"/>
        <v>0</v>
      </c>
      <c r="K25" s="36">
        <f t="shared" si="25"/>
        <v>2506197</v>
      </c>
      <c r="L25" s="36">
        <f aca="true" t="shared" si="26" ref="L25:W25">L28+L26</f>
        <v>149850</v>
      </c>
      <c r="M25" s="36">
        <f t="shared" si="26"/>
        <v>2656047</v>
      </c>
      <c r="N25" s="36">
        <f t="shared" si="26"/>
        <v>137220</v>
      </c>
      <c r="O25" s="36">
        <f t="shared" si="26"/>
        <v>2793267</v>
      </c>
      <c r="P25" s="36">
        <f t="shared" si="26"/>
        <v>0</v>
      </c>
      <c r="Q25" s="36">
        <f t="shared" si="26"/>
        <v>2793267</v>
      </c>
      <c r="R25" s="36">
        <f t="shared" si="26"/>
        <v>-500000</v>
      </c>
      <c r="S25" s="36">
        <f t="shared" si="26"/>
        <v>2293267</v>
      </c>
      <c r="T25" s="36">
        <f t="shared" si="26"/>
        <v>0</v>
      </c>
      <c r="U25" s="36">
        <f t="shared" si="26"/>
        <v>2293267</v>
      </c>
      <c r="V25" s="36">
        <f t="shared" si="26"/>
        <v>347600</v>
      </c>
      <c r="W25" s="36">
        <f t="shared" si="26"/>
        <v>2640867</v>
      </c>
      <c r="X25" s="36">
        <f>X28+X26</f>
        <v>0</v>
      </c>
      <c r="Y25" s="36">
        <f aca="true" t="shared" si="27" ref="Y25:AE25">Y28+Y26+Y33</f>
        <v>2640867</v>
      </c>
      <c r="Z25" s="36">
        <f t="shared" si="27"/>
        <v>60000</v>
      </c>
      <c r="AA25" s="36">
        <f t="shared" si="27"/>
        <v>2700867</v>
      </c>
      <c r="AB25" s="36">
        <f t="shared" si="27"/>
        <v>0</v>
      </c>
      <c r="AC25" s="36">
        <f t="shared" si="27"/>
        <v>2700867</v>
      </c>
      <c r="AD25" s="36">
        <f t="shared" si="27"/>
        <v>-241348</v>
      </c>
      <c r="AE25" s="36">
        <f t="shared" si="27"/>
        <v>2459519</v>
      </c>
      <c r="AF25" s="36">
        <f aca="true" t="shared" si="28" ref="AF25:AK25">AF28+AF26+AF33</f>
        <v>-217241</v>
      </c>
      <c r="AG25" s="36">
        <f t="shared" si="28"/>
        <v>2242278</v>
      </c>
      <c r="AH25" s="36">
        <f t="shared" si="28"/>
        <v>0</v>
      </c>
      <c r="AI25" s="36">
        <f t="shared" si="28"/>
        <v>2242278</v>
      </c>
      <c r="AJ25" s="36">
        <f t="shared" si="28"/>
        <v>-554675</v>
      </c>
      <c r="AK25" s="36">
        <f t="shared" si="28"/>
        <v>1687603</v>
      </c>
      <c r="AL25" s="36">
        <f>AL28+AL26+AL33</f>
        <v>0</v>
      </c>
      <c r="AM25" s="36">
        <f>AM28+AM26+AM33</f>
        <v>1687603</v>
      </c>
    </row>
    <row r="26" spans="1:39" s="122" customFormat="1" ht="21" customHeight="1">
      <c r="A26" s="64"/>
      <c r="B26" s="46">
        <v>60014</v>
      </c>
      <c r="C26" s="77"/>
      <c r="D26" s="12" t="s">
        <v>339</v>
      </c>
      <c r="E26" s="78"/>
      <c r="F26" s="78"/>
      <c r="G26" s="78"/>
      <c r="H26" s="78"/>
      <c r="I26" s="78"/>
      <c r="J26" s="78"/>
      <c r="K26" s="78">
        <f aca="true" t="shared" si="29" ref="K26:AM26">SUM(K27)</f>
        <v>0</v>
      </c>
      <c r="L26" s="78">
        <f t="shared" si="29"/>
        <v>100000</v>
      </c>
      <c r="M26" s="78">
        <f t="shared" si="29"/>
        <v>100000</v>
      </c>
      <c r="N26" s="78">
        <f t="shared" si="29"/>
        <v>127220</v>
      </c>
      <c r="O26" s="78">
        <f t="shared" si="29"/>
        <v>227220</v>
      </c>
      <c r="P26" s="78">
        <f t="shared" si="29"/>
        <v>0</v>
      </c>
      <c r="Q26" s="78">
        <f t="shared" si="29"/>
        <v>227220</v>
      </c>
      <c r="R26" s="78">
        <f t="shared" si="29"/>
        <v>0</v>
      </c>
      <c r="S26" s="78">
        <f t="shared" si="29"/>
        <v>227220</v>
      </c>
      <c r="T26" s="78">
        <f t="shared" si="29"/>
        <v>0</v>
      </c>
      <c r="U26" s="78">
        <f t="shared" si="29"/>
        <v>227220</v>
      </c>
      <c r="V26" s="78">
        <f t="shared" si="29"/>
        <v>0</v>
      </c>
      <c r="W26" s="78">
        <f t="shared" si="29"/>
        <v>227220</v>
      </c>
      <c r="X26" s="78">
        <f t="shared" si="29"/>
        <v>0</v>
      </c>
      <c r="Y26" s="78">
        <f t="shared" si="29"/>
        <v>227220</v>
      </c>
      <c r="Z26" s="78">
        <f t="shared" si="29"/>
        <v>0</v>
      </c>
      <c r="AA26" s="78">
        <f t="shared" si="29"/>
        <v>227220</v>
      </c>
      <c r="AB26" s="78">
        <f t="shared" si="29"/>
        <v>0</v>
      </c>
      <c r="AC26" s="78">
        <f t="shared" si="29"/>
        <v>227220</v>
      </c>
      <c r="AD26" s="78">
        <f t="shared" si="29"/>
        <v>0</v>
      </c>
      <c r="AE26" s="78">
        <f t="shared" si="29"/>
        <v>227220</v>
      </c>
      <c r="AF26" s="78">
        <f t="shared" si="29"/>
        <v>-127220</v>
      </c>
      <c r="AG26" s="78">
        <f t="shared" si="29"/>
        <v>100000</v>
      </c>
      <c r="AH26" s="78">
        <f t="shared" si="29"/>
        <v>0</v>
      </c>
      <c r="AI26" s="78">
        <f t="shared" si="29"/>
        <v>100000</v>
      </c>
      <c r="AJ26" s="78">
        <f t="shared" si="29"/>
        <v>0</v>
      </c>
      <c r="AK26" s="78">
        <f t="shared" si="29"/>
        <v>100000</v>
      </c>
      <c r="AL26" s="78">
        <f t="shared" si="29"/>
        <v>0</v>
      </c>
      <c r="AM26" s="78">
        <f t="shared" si="29"/>
        <v>100000</v>
      </c>
    </row>
    <row r="27" spans="1:39" s="122" customFormat="1" ht="48">
      <c r="A27" s="64"/>
      <c r="B27" s="46"/>
      <c r="C27" s="77">
        <v>6300</v>
      </c>
      <c r="D27" s="12" t="s">
        <v>338</v>
      </c>
      <c r="E27" s="78"/>
      <c r="F27" s="78"/>
      <c r="G27" s="78"/>
      <c r="H27" s="78"/>
      <c r="I27" s="78"/>
      <c r="J27" s="78"/>
      <c r="K27" s="78">
        <v>0</v>
      </c>
      <c r="L27" s="78">
        <v>100000</v>
      </c>
      <c r="M27" s="78">
        <f>SUM(K27:L27)</f>
        <v>100000</v>
      </c>
      <c r="N27" s="78">
        <v>127220</v>
      </c>
      <c r="O27" s="78">
        <f>SUM(M27:N27)</f>
        <v>227220</v>
      </c>
      <c r="P27" s="78"/>
      <c r="Q27" s="78">
        <f>SUM(O27:P27)</f>
        <v>227220</v>
      </c>
      <c r="R27" s="78"/>
      <c r="S27" s="78">
        <f>SUM(Q27:R27)</f>
        <v>227220</v>
      </c>
      <c r="T27" s="78"/>
      <c r="U27" s="78">
        <f>SUM(S27:T27)</f>
        <v>227220</v>
      </c>
      <c r="V27" s="78">
        <f>-10895-40500+51395</f>
        <v>0</v>
      </c>
      <c r="W27" s="78">
        <f>SUM(U27:V27)</f>
        <v>227220</v>
      </c>
      <c r="X27" s="78">
        <f>-10895-40500+51395</f>
        <v>0</v>
      </c>
      <c r="Y27" s="78">
        <f>SUM(W27:X27)</f>
        <v>227220</v>
      </c>
      <c r="Z27" s="78">
        <f>-10895-40500+51395</f>
        <v>0</v>
      </c>
      <c r="AA27" s="78">
        <f>SUM(Y27:Z27)</f>
        <v>227220</v>
      </c>
      <c r="AB27" s="78">
        <f>-10895-40500+51395</f>
        <v>0</v>
      </c>
      <c r="AC27" s="78">
        <f>SUM(AA27:AB27)</f>
        <v>227220</v>
      </c>
      <c r="AD27" s="78">
        <f>-10895-40500+51395</f>
        <v>0</v>
      </c>
      <c r="AE27" s="78">
        <f>SUM(AC27:AD27)</f>
        <v>227220</v>
      </c>
      <c r="AF27" s="78">
        <v>-127220</v>
      </c>
      <c r="AG27" s="78">
        <f>SUM(AE27:AF27)</f>
        <v>100000</v>
      </c>
      <c r="AH27" s="78"/>
      <c r="AI27" s="78">
        <f>SUM(AG27:AH27)</f>
        <v>100000</v>
      </c>
      <c r="AJ27" s="78"/>
      <c r="AK27" s="78">
        <f>SUM(AI27:AJ27)</f>
        <v>100000</v>
      </c>
      <c r="AL27" s="78"/>
      <c r="AM27" s="78">
        <f>SUM(AK27:AL27)</f>
        <v>100000</v>
      </c>
    </row>
    <row r="28" spans="1:39" s="23" customFormat="1" ht="21" customHeight="1">
      <c r="A28" s="64"/>
      <c r="B28" s="79" t="s">
        <v>75</v>
      </c>
      <c r="C28" s="83"/>
      <c r="D28" s="37" t="s">
        <v>76</v>
      </c>
      <c r="E28" s="78">
        <f aca="true" t="shared" si="30" ref="E28:W28">SUM(E29:E32)</f>
        <v>1046197</v>
      </c>
      <c r="F28" s="78">
        <f t="shared" si="30"/>
        <v>1460000</v>
      </c>
      <c r="G28" s="78">
        <f t="shared" si="30"/>
        <v>2506197</v>
      </c>
      <c r="H28" s="78">
        <f t="shared" si="30"/>
        <v>0</v>
      </c>
      <c r="I28" s="78">
        <f t="shared" si="30"/>
        <v>2506197</v>
      </c>
      <c r="J28" s="78">
        <f t="shared" si="30"/>
        <v>0</v>
      </c>
      <c r="K28" s="78">
        <f t="shared" si="30"/>
        <v>2506197</v>
      </c>
      <c r="L28" s="78">
        <f t="shared" si="30"/>
        <v>49850</v>
      </c>
      <c r="M28" s="78">
        <f t="shared" si="30"/>
        <v>2556047</v>
      </c>
      <c r="N28" s="78">
        <f t="shared" si="30"/>
        <v>10000</v>
      </c>
      <c r="O28" s="78">
        <f t="shared" si="30"/>
        <v>2566047</v>
      </c>
      <c r="P28" s="78">
        <f t="shared" si="30"/>
        <v>0</v>
      </c>
      <c r="Q28" s="78">
        <f t="shared" si="30"/>
        <v>2566047</v>
      </c>
      <c r="R28" s="78">
        <f t="shared" si="30"/>
        <v>-500000</v>
      </c>
      <c r="S28" s="78">
        <f t="shared" si="30"/>
        <v>2066047</v>
      </c>
      <c r="T28" s="78">
        <f t="shared" si="30"/>
        <v>0</v>
      </c>
      <c r="U28" s="78">
        <f t="shared" si="30"/>
        <v>2066047</v>
      </c>
      <c r="V28" s="78">
        <f t="shared" si="30"/>
        <v>347600</v>
      </c>
      <c r="W28" s="78">
        <f t="shared" si="30"/>
        <v>2413647</v>
      </c>
      <c r="X28" s="78">
        <f aca="true" t="shared" si="31" ref="X28:AC28">SUM(X29:X32)</f>
        <v>0</v>
      </c>
      <c r="Y28" s="78">
        <f t="shared" si="31"/>
        <v>2413647</v>
      </c>
      <c r="Z28" s="78">
        <f t="shared" si="31"/>
        <v>0</v>
      </c>
      <c r="AA28" s="78">
        <f t="shared" si="31"/>
        <v>2413647</v>
      </c>
      <c r="AB28" s="78">
        <f t="shared" si="31"/>
        <v>0</v>
      </c>
      <c r="AC28" s="78">
        <f t="shared" si="31"/>
        <v>2413647</v>
      </c>
      <c r="AD28" s="78">
        <f aca="true" t="shared" si="32" ref="AD28:AI28">SUM(AD29:AD32)</f>
        <v>-241348</v>
      </c>
      <c r="AE28" s="78">
        <f t="shared" si="32"/>
        <v>2172299</v>
      </c>
      <c r="AF28" s="78">
        <f t="shared" si="32"/>
        <v>-90021</v>
      </c>
      <c r="AG28" s="78">
        <f t="shared" si="32"/>
        <v>2082278</v>
      </c>
      <c r="AH28" s="78">
        <f t="shared" si="32"/>
        <v>0</v>
      </c>
      <c r="AI28" s="78">
        <f t="shared" si="32"/>
        <v>2082278</v>
      </c>
      <c r="AJ28" s="78">
        <f>SUM(AJ29:AJ32)</f>
        <v>-554675</v>
      </c>
      <c r="AK28" s="78">
        <f>SUM(AK29:AK32)</f>
        <v>1527603</v>
      </c>
      <c r="AL28" s="78">
        <f>SUM(AL29:AL32)</f>
        <v>0</v>
      </c>
      <c r="AM28" s="78">
        <f>SUM(AM29:AM32)</f>
        <v>1527603</v>
      </c>
    </row>
    <row r="29" spans="1:39" s="23" customFormat="1" ht="21" customHeight="1">
      <c r="A29" s="64"/>
      <c r="B29" s="84"/>
      <c r="C29" s="64">
        <v>4210</v>
      </c>
      <c r="D29" s="37" t="s">
        <v>71</v>
      </c>
      <c r="E29" s="78">
        <f>19527+28019</f>
        <v>47546</v>
      </c>
      <c r="F29" s="78"/>
      <c r="G29" s="78">
        <f>SUM(E29:F29)</f>
        <v>47546</v>
      </c>
      <c r="H29" s="78"/>
      <c r="I29" s="78">
        <f>SUM(G29:H29)</f>
        <v>47546</v>
      </c>
      <c r="J29" s="78"/>
      <c r="K29" s="78">
        <f>SUM(I29:J29)</f>
        <v>47546</v>
      </c>
      <c r="L29" s="78">
        <v>-1150</v>
      </c>
      <c r="M29" s="78">
        <f>SUM(K29:L29)</f>
        <v>46396</v>
      </c>
      <c r="N29" s="78"/>
      <c r="O29" s="78">
        <f>SUM(M29:N29)</f>
        <v>46396</v>
      </c>
      <c r="P29" s="78"/>
      <c r="Q29" s="78">
        <f>SUM(O29:P29)</f>
        <v>46396</v>
      </c>
      <c r="R29" s="78"/>
      <c r="S29" s="78">
        <f>SUM(Q29:R29)</f>
        <v>46396</v>
      </c>
      <c r="T29" s="78"/>
      <c r="U29" s="78">
        <f>SUM(S29:T29)</f>
        <v>46396</v>
      </c>
      <c r="V29" s="78"/>
      <c r="W29" s="78">
        <f>SUM(U29:V29)</f>
        <v>46396</v>
      </c>
      <c r="X29" s="78"/>
      <c r="Y29" s="78">
        <f>SUM(W29:X29)</f>
        <v>46396</v>
      </c>
      <c r="Z29" s="78"/>
      <c r="AA29" s="78">
        <f>SUM(Y29:Z29)</f>
        <v>46396</v>
      </c>
      <c r="AB29" s="78"/>
      <c r="AC29" s="78">
        <f>SUM(AA29:AB29)</f>
        <v>46396</v>
      </c>
      <c r="AD29" s="78"/>
      <c r="AE29" s="78">
        <f>SUM(AC29:AD29)</f>
        <v>46396</v>
      </c>
      <c r="AF29" s="78"/>
      <c r="AG29" s="78">
        <f>SUM(AE29:AF29)</f>
        <v>46396</v>
      </c>
      <c r="AH29" s="78"/>
      <c r="AI29" s="78">
        <f>SUM(AG29:AH29)</f>
        <v>46396</v>
      </c>
      <c r="AJ29" s="78">
        <f>-2416-2186</f>
        <v>-4602</v>
      </c>
      <c r="AK29" s="78">
        <f>SUM(AI29:AJ29)</f>
        <v>41794</v>
      </c>
      <c r="AL29" s="78"/>
      <c r="AM29" s="78">
        <f>SUM(AK29:AL29)</f>
        <v>41794</v>
      </c>
    </row>
    <row r="30" spans="1:39" s="23" customFormat="1" ht="21" customHeight="1">
      <c r="A30" s="64"/>
      <c r="B30" s="84"/>
      <c r="C30" s="64">
        <v>4270</v>
      </c>
      <c r="D30" s="37" t="s">
        <v>77</v>
      </c>
      <c r="E30" s="78">
        <f>250000+13800</f>
        <v>263800</v>
      </c>
      <c r="F30" s="78"/>
      <c r="G30" s="78">
        <f>SUM(E30:F30)</f>
        <v>263800</v>
      </c>
      <c r="H30" s="78"/>
      <c r="I30" s="78">
        <f>SUM(G30:H30)</f>
        <v>263800</v>
      </c>
      <c r="J30" s="78"/>
      <c r="K30" s="78">
        <f>SUM(I30:J30)</f>
        <v>263800</v>
      </c>
      <c r="L30" s="78"/>
      <c r="M30" s="78">
        <f>SUM(K30:L30)</f>
        <v>263800</v>
      </c>
      <c r="N30" s="78"/>
      <c r="O30" s="78">
        <f>SUM(M30:N30)</f>
        <v>263800</v>
      </c>
      <c r="P30" s="78"/>
      <c r="Q30" s="78">
        <f>SUM(O30:P30)</f>
        <v>263800</v>
      </c>
      <c r="R30" s="78"/>
      <c r="S30" s="78">
        <f>SUM(Q30:R30)</f>
        <v>263800</v>
      </c>
      <c r="T30" s="78"/>
      <c r="U30" s="78">
        <f>SUM(S30:T30)</f>
        <v>263800</v>
      </c>
      <c r="V30" s="78"/>
      <c r="W30" s="78">
        <f>SUM(U30:V30)</f>
        <v>263800</v>
      </c>
      <c r="X30" s="78"/>
      <c r="Y30" s="78">
        <f>SUM(W30:X30)</f>
        <v>263800</v>
      </c>
      <c r="Z30" s="78"/>
      <c r="AA30" s="78">
        <f>SUM(Y30:Z30)</f>
        <v>263800</v>
      </c>
      <c r="AB30" s="78"/>
      <c r="AC30" s="78">
        <f>SUM(AA30:AB30)</f>
        <v>263800</v>
      </c>
      <c r="AD30" s="78"/>
      <c r="AE30" s="78">
        <f>SUM(AC30:AD30)</f>
        <v>263800</v>
      </c>
      <c r="AF30" s="78"/>
      <c r="AG30" s="78">
        <f>SUM(AE30:AF30)</f>
        <v>263800</v>
      </c>
      <c r="AH30" s="78"/>
      <c r="AI30" s="78">
        <f>SUM(AG30:AH30)</f>
        <v>263800</v>
      </c>
      <c r="AJ30" s="78">
        <f>10000</f>
        <v>10000</v>
      </c>
      <c r="AK30" s="78">
        <f>SUM(AI30:AJ30)</f>
        <v>273800</v>
      </c>
      <c r="AL30" s="78">
        <f>-28600+1000</f>
        <v>-27600</v>
      </c>
      <c r="AM30" s="78">
        <f>SUM(AK30:AL30)</f>
        <v>246200</v>
      </c>
    </row>
    <row r="31" spans="1:39" s="23" customFormat="1" ht="21" customHeight="1">
      <c r="A31" s="64"/>
      <c r="B31" s="84"/>
      <c r="C31" s="64">
        <v>4300</v>
      </c>
      <c r="D31" s="37" t="s">
        <v>78</v>
      </c>
      <c r="E31" s="78">
        <f>245000+1200+19351</f>
        <v>265551</v>
      </c>
      <c r="F31" s="78">
        <v>20000</v>
      </c>
      <c r="G31" s="78">
        <f>SUM(E31:F31)</f>
        <v>285551</v>
      </c>
      <c r="H31" s="78"/>
      <c r="I31" s="78">
        <f>SUM(G31:H31)</f>
        <v>285551</v>
      </c>
      <c r="J31" s="78"/>
      <c r="K31" s="78">
        <f>SUM(I31:J31)</f>
        <v>285551</v>
      </c>
      <c r="L31" s="78">
        <v>51000</v>
      </c>
      <c r="M31" s="78">
        <f>SUM(K31:L31)</f>
        <v>336551</v>
      </c>
      <c r="N31" s="78">
        <v>10000</v>
      </c>
      <c r="O31" s="78">
        <f>SUM(M31:N31)</f>
        <v>346551</v>
      </c>
      <c r="P31" s="78"/>
      <c r="Q31" s="78">
        <f>SUM(O31:P31)</f>
        <v>346551</v>
      </c>
      <c r="R31" s="78"/>
      <c r="S31" s="78">
        <f>SUM(Q31:R31)</f>
        <v>346551</v>
      </c>
      <c r="T31" s="78"/>
      <c r="U31" s="78">
        <f>SUM(S31:T31)</f>
        <v>346551</v>
      </c>
      <c r="V31" s="78">
        <v>50000</v>
      </c>
      <c r="W31" s="78">
        <f>SUM(U31:V31)</f>
        <v>396551</v>
      </c>
      <c r="X31" s="78"/>
      <c r="Y31" s="78">
        <f>SUM(W31:X31)</f>
        <v>396551</v>
      </c>
      <c r="Z31" s="78"/>
      <c r="AA31" s="78">
        <f>SUM(Y31:Z31)</f>
        <v>396551</v>
      </c>
      <c r="AB31" s="78"/>
      <c r="AC31" s="78">
        <f>SUM(AA31:AB31)</f>
        <v>396551</v>
      </c>
      <c r="AD31" s="78">
        <f>23900-1248</f>
        <v>22652</v>
      </c>
      <c r="AE31" s="78">
        <f>SUM(AC31:AD31)</f>
        <v>419203</v>
      </c>
      <c r="AF31" s="78"/>
      <c r="AG31" s="78">
        <f>SUM(AE31:AF31)</f>
        <v>419203</v>
      </c>
      <c r="AH31" s="78"/>
      <c r="AI31" s="78">
        <f>SUM(AG31:AH31)</f>
        <v>419203</v>
      </c>
      <c r="AJ31" s="78">
        <f>15000+2416+291</f>
        <v>17707</v>
      </c>
      <c r="AK31" s="78">
        <f>SUM(AI31:AJ31)</f>
        <v>436910</v>
      </c>
      <c r="AL31" s="78">
        <f>28600-1000</f>
        <v>27600</v>
      </c>
      <c r="AM31" s="78">
        <f>SUM(AK31:AL31)</f>
        <v>464510</v>
      </c>
    </row>
    <row r="32" spans="1:39" s="23" customFormat="1" ht="24">
      <c r="A32" s="64"/>
      <c r="B32" s="84"/>
      <c r="C32" s="64">
        <v>6050</v>
      </c>
      <c r="D32" s="37" t="s">
        <v>72</v>
      </c>
      <c r="E32" s="78">
        <f>6300+13000+450000</f>
        <v>469300</v>
      </c>
      <c r="F32" s="78">
        <f>-100000+500000+30000+500000+500000+10000</f>
        <v>1440000</v>
      </c>
      <c r="G32" s="78">
        <f>SUM(E32:F32)</f>
        <v>1909300</v>
      </c>
      <c r="H32" s="78"/>
      <c r="I32" s="78">
        <f>SUM(G32:H32)</f>
        <v>1909300</v>
      </c>
      <c r="J32" s="78"/>
      <c r="K32" s="78">
        <f>SUM(I32:J32)</f>
        <v>1909300</v>
      </c>
      <c r="L32" s="78"/>
      <c r="M32" s="78">
        <f>SUM(K32:L32)</f>
        <v>1909300</v>
      </c>
      <c r="N32" s="78"/>
      <c r="O32" s="78">
        <f>SUM(M32:N32)</f>
        <v>1909300</v>
      </c>
      <c r="P32" s="78"/>
      <c r="Q32" s="78">
        <f>SUM(O32:P32)</f>
        <v>1909300</v>
      </c>
      <c r="R32" s="78">
        <f>-500000</f>
        <v>-500000</v>
      </c>
      <c r="S32" s="78">
        <f>SUM(Q32:R32)</f>
        <v>1409300</v>
      </c>
      <c r="T32" s="78"/>
      <c r="U32" s="78">
        <f>SUM(S32:T32)</f>
        <v>1409300</v>
      </c>
      <c r="V32" s="78">
        <f>60100+234000+3500</f>
        <v>297600</v>
      </c>
      <c r="W32" s="78">
        <f>SUM(U32:V32)</f>
        <v>1706900</v>
      </c>
      <c r="X32" s="78"/>
      <c r="Y32" s="78">
        <f>SUM(W32:X32)</f>
        <v>1706900</v>
      </c>
      <c r="Z32" s="78"/>
      <c r="AA32" s="78">
        <f>SUM(Y32:Z32)</f>
        <v>1706900</v>
      </c>
      <c r="AB32" s="78"/>
      <c r="AC32" s="78">
        <f>SUM(AA32:AB32)</f>
        <v>1706900</v>
      </c>
      <c r="AD32" s="78">
        <v>-264000</v>
      </c>
      <c r="AE32" s="78">
        <f>SUM(AC32:AD32)</f>
        <v>1442900</v>
      </c>
      <c r="AF32" s="78">
        <f>-140021+50000</f>
        <v>-90021</v>
      </c>
      <c r="AG32" s="78">
        <f>SUM(AE32:AF32)</f>
        <v>1352879</v>
      </c>
      <c r="AH32" s="78">
        <f>11200-11200</f>
        <v>0</v>
      </c>
      <c r="AI32" s="78">
        <f>SUM(AG32:AH32)</f>
        <v>1352879</v>
      </c>
      <c r="AJ32" s="78">
        <v>-577780</v>
      </c>
      <c r="AK32" s="78">
        <f>SUM(AI32:AJ32)</f>
        <v>775099</v>
      </c>
      <c r="AL32" s="78"/>
      <c r="AM32" s="78">
        <f>SUM(AK32:AL32)</f>
        <v>775099</v>
      </c>
    </row>
    <row r="33" spans="1:39" s="23" customFormat="1" ht="22.5" customHeight="1">
      <c r="A33" s="64"/>
      <c r="B33" s="84">
        <v>60095</v>
      </c>
      <c r="C33" s="64"/>
      <c r="D33" s="37" t="s">
        <v>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>
        <f aca="true" t="shared" si="33" ref="Y33:AM33">SUM(Y34)</f>
        <v>0</v>
      </c>
      <c r="Z33" s="78">
        <f t="shared" si="33"/>
        <v>60000</v>
      </c>
      <c r="AA33" s="78">
        <f t="shared" si="33"/>
        <v>60000</v>
      </c>
      <c r="AB33" s="78">
        <f t="shared" si="33"/>
        <v>0</v>
      </c>
      <c r="AC33" s="78">
        <f t="shared" si="33"/>
        <v>60000</v>
      </c>
      <c r="AD33" s="78">
        <f t="shared" si="33"/>
        <v>0</v>
      </c>
      <c r="AE33" s="78">
        <f t="shared" si="33"/>
        <v>60000</v>
      </c>
      <c r="AF33" s="78">
        <f t="shared" si="33"/>
        <v>0</v>
      </c>
      <c r="AG33" s="78">
        <f t="shared" si="33"/>
        <v>60000</v>
      </c>
      <c r="AH33" s="78">
        <f t="shared" si="33"/>
        <v>0</v>
      </c>
      <c r="AI33" s="78">
        <f t="shared" si="33"/>
        <v>60000</v>
      </c>
      <c r="AJ33" s="78">
        <f t="shared" si="33"/>
        <v>0</v>
      </c>
      <c r="AK33" s="78">
        <f t="shared" si="33"/>
        <v>60000</v>
      </c>
      <c r="AL33" s="78">
        <f t="shared" si="33"/>
        <v>0</v>
      </c>
      <c r="AM33" s="78">
        <f t="shared" si="33"/>
        <v>60000</v>
      </c>
    </row>
    <row r="34" spans="1:39" s="23" customFormat="1" ht="48">
      <c r="A34" s="64"/>
      <c r="B34" s="84"/>
      <c r="C34" s="64">
        <v>2710</v>
      </c>
      <c r="D34" s="12" t="s">
        <v>383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>
        <v>0</v>
      </c>
      <c r="Z34" s="78">
        <v>60000</v>
      </c>
      <c r="AA34" s="78">
        <f>SUM(Y34:Z34)</f>
        <v>60000</v>
      </c>
      <c r="AB34" s="78"/>
      <c r="AC34" s="78">
        <f>SUM(AA34:AB34)</f>
        <v>60000</v>
      </c>
      <c r="AD34" s="78"/>
      <c r="AE34" s="78">
        <f>SUM(AC34:AD34)</f>
        <v>60000</v>
      </c>
      <c r="AF34" s="78"/>
      <c r="AG34" s="78">
        <f>SUM(AE34:AF34)</f>
        <v>60000</v>
      </c>
      <c r="AH34" s="78"/>
      <c r="AI34" s="78">
        <f>SUM(AG34:AH34)</f>
        <v>60000</v>
      </c>
      <c r="AJ34" s="78"/>
      <c r="AK34" s="78">
        <f>SUM(AI34:AJ34)</f>
        <v>60000</v>
      </c>
      <c r="AL34" s="78"/>
      <c r="AM34" s="78">
        <f>SUM(AK34:AL34)</f>
        <v>60000</v>
      </c>
    </row>
    <row r="35" spans="1:39" s="5" customFormat="1" ht="21" customHeight="1">
      <c r="A35" s="32" t="s">
        <v>8</v>
      </c>
      <c r="B35" s="33"/>
      <c r="C35" s="34"/>
      <c r="D35" s="35" t="s">
        <v>9</v>
      </c>
      <c r="E35" s="36">
        <f aca="true" t="shared" si="34" ref="E35:W35">SUM(E36,E38,E51)</f>
        <v>2992517</v>
      </c>
      <c r="F35" s="36">
        <f t="shared" si="34"/>
        <v>-700000</v>
      </c>
      <c r="G35" s="36">
        <f t="shared" si="34"/>
        <v>2292517</v>
      </c>
      <c r="H35" s="36">
        <f t="shared" si="34"/>
        <v>0</v>
      </c>
      <c r="I35" s="36">
        <f t="shared" si="34"/>
        <v>2292517</v>
      </c>
      <c r="J35" s="36">
        <f t="shared" si="34"/>
        <v>0</v>
      </c>
      <c r="K35" s="36">
        <f t="shared" si="34"/>
        <v>2292517</v>
      </c>
      <c r="L35" s="36">
        <f t="shared" si="34"/>
        <v>191405</v>
      </c>
      <c r="M35" s="36">
        <f t="shared" si="34"/>
        <v>2483922</v>
      </c>
      <c r="N35" s="36">
        <f t="shared" si="34"/>
        <v>0</v>
      </c>
      <c r="O35" s="36">
        <f t="shared" si="34"/>
        <v>2483922</v>
      </c>
      <c r="P35" s="36">
        <f t="shared" si="34"/>
        <v>0</v>
      </c>
      <c r="Q35" s="36">
        <f t="shared" si="34"/>
        <v>2483922</v>
      </c>
      <c r="R35" s="36">
        <f t="shared" si="34"/>
        <v>0</v>
      </c>
      <c r="S35" s="36">
        <f t="shared" si="34"/>
        <v>2483922</v>
      </c>
      <c r="T35" s="36">
        <f t="shared" si="34"/>
        <v>0</v>
      </c>
      <c r="U35" s="36">
        <f t="shared" si="34"/>
        <v>2483922</v>
      </c>
      <c r="V35" s="36">
        <f t="shared" si="34"/>
        <v>0</v>
      </c>
      <c r="W35" s="36">
        <f t="shared" si="34"/>
        <v>2483922</v>
      </c>
      <c r="X35" s="36">
        <f aca="true" t="shared" si="35" ref="X35:AC35">SUM(X36,X38,X51)</f>
        <v>0</v>
      </c>
      <c r="Y35" s="36">
        <f t="shared" si="35"/>
        <v>2483922</v>
      </c>
      <c r="Z35" s="36">
        <f t="shared" si="35"/>
        <v>0</v>
      </c>
      <c r="AA35" s="36">
        <f t="shared" si="35"/>
        <v>2483922</v>
      </c>
      <c r="AB35" s="36">
        <f t="shared" si="35"/>
        <v>0</v>
      </c>
      <c r="AC35" s="36">
        <f t="shared" si="35"/>
        <v>2483922</v>
      </c>
      <c r="AD35" s="36">
        <f aca="true" t="shared" si="36" ref="AD35:AI35">SUM(AD36,AD38,AD51)</f>
        <v>0</v>
      </c>
      <c r="AE35" s="36">
        <f t="shared" si="36"/>
        <v>2483922</v>
      </c>
      <c r="AF35" s="36">
        <f t="shared" si="36"/>
        <v>0</v>
      </c>
      <c r="AG35" s="36">
        <f t="shared" si="36"/>
        <v>2483922</v>
      </c>
      <c r="AH35" s="36">
        <f t="shared" si="36"/>
        <v>0</v>
      </c>
      <c r="AI35" s="36">
        <f t="shared" si="36"/>
        <v>2483922</v>
      </c>
      <c r="AJ35" s="36">
        <f>SUM(AJ36,AJ38,AJ51)</f>
        <v>-12</v>
      </c>
      <c r="AK35" s="36">
        <f>SUM(AK36,AK38,AK51)</f>
        <v>2483910</v>
      </c>
      <c r="AL35" s="36">
        <f>SUM(AL36,AL38,AL51)</f>
        <v>0</v>
      </c>
      <c r="AM35" s="36">
        <f>SUM(AM36,AM38,AM51)</f>
        <v>2483910</v>
      </c>
    </row>
    <row r="36" spans="1:39" s="23" customFormat="1" ht="24">
      <c r="A36" s="64"/>
      <c r="B36" s="84">
        <v>70004</v>
      </c>
      <c r="C36" s="83"/>
      <c r="D36" s="37" t="s">
        <v>197</v>
      </c>
      <c r="E36" s="78">
        <f aca="true" t="shared" si="37" ref="E36:AM36">SUM(E37)</f>
        <v>30000</v>
      </c>
      <c r="F36" s="78">
        <f t="shared" si="37"/>
        <v>0</v>
      </c>
      <c r="G36" s="78">
        <f t="shared" si="37"/>
        <v>30000</v>
      </c>
      <c r="H36" s="78">
        <f t="shared" si="37"/>
        <v>0</v>
      </c>
      <c r="I36" s="78">
        <f t="shared" si="37"/>
        <v>30000</v>
      </c>
      <c r="J36" s="78">
        <f t="shared" si="37"/>
        <v>0</v>
      </c>
      <c r="K36" s="78">
        <f t="shared" si="37"/>
        <v>30000</v>
      </c>
      <c r="L36" s="78">
        <f t="shared" si="37"/>
        <v>0</v>
      </c>
      <c r="M36" s="78">
        <f t="shared" si="37"/>
        <v>30000</v>
      </c>
      <c r="N36" s="78">
        <f t="shared" si="37"/>
        <v>0</v>
      </c>
      <c r="O36" s="78">
        <f t="shared" si="37"/>
        <v>30000</v>
      </c>
      <c r="P36" s="78">
        <f t="shared" si="37"/>
        <v>0</v>
      </c>
      <c r="Q36" s="78">
        <f t="shared" si="37"/>
        <v>30000</v>
      </c>
      <c r="R36" s="78">
        <f t="shared" si="37"/>
        <v>0</v>
      </c>
      <c r="S36" s="78">
        <f t="shared" si="37"/>
        <v>30000</v>
      </c>
      <c r="T36" s="78">
        <f t="shared" si="37"/>
        <v>0</v>
      </c>
      <c r="U36" s="78">
        <f t="shared" si="37"/>
        <v>30000</v>
      </c>
      <c r="V36" s="78">
        <f t="shared" si="37"/>
        <v>0</v>
      </c>
      <c r="W36" s="78">
        <f t="shared" si="37"/>
        <v>30000</v>
      </c>
      <c r="X36" s="78">
        <f t="shared" si="37"/>
        <v>0</v>
      </c>
      <c r="Y36" s="78">
        <f t="shared" si="37"/>
        <v>30000</v>
      </c>
      <c r="Z36" s="78">
        <f t="shared" si="37"/>
        <v>0</v>
      </c>
      <c r="AA36" s="78">
        <f t="shared" si="37"/>
        <v>30000</v>
      </c>
      <c r="AB36" s="78">
        <f t="shared" si="37"/>
        <v>0</v>
      </c>
      <c r="AC36" s="78">
        <f t="shared" si="37"/>
        <v>30000</v>
      </c>
      <c r="AD36" s="78">
        <f t="shared" si="37"/>
        <v>0</v>
      </c>
      <c r="AE36" s="78">
        <f t="shared" si="37"/>
        <v>30000</v>
      </c>
      <c r="AF36" s="78">
        <f t="shared" si="37"/>
        <v>0</v>
      </c>
      <c r="AG36" s="78">
        <f t="shared" si="37"/>
        <v>30000</v>
      </c>
      <c r="AH36" s="78">
        <f t="shared" si="37"/>
        <v>0</v>
      </c>
      <c r="AI36" s="78">
        <f t="shared" si="37"/>
        <v>30000</v>
      </c>
      <c r="AJ36" s="78">
        <f t="shared" si="37"/>
        <v>0</v>
      </c>
      <c r="AK36" s="78">
        <f t="shared" si="37"/>
        <v>30000</v>
      </c>
      <c r="AL36" s="78">
        <f t="shared" si="37"/>
        <v>0</v>
      </c>
      <c r="AM36" s="78">
        <f t="shared" si="37"/>
        <v>30000</v>
      </c>
    </row>
    <row r="37" spans="1:39" s="23" customFormat="1" ht="21" customHeight="1">
      <c r="A37" s="64"/>
      <c r="B37" s="84"/>
      <c r="C37" s="83">
        <v>4300</v>
      </c>
      <c r="D37" s="37" t="s">
        <v>78</v>
      </c>
      <c r="E37" s="78">
        <v>30000</v>
      </c>
      <c r="F37" s="78"/>
      <c r="G37" s="78">
        <f>SUM(E37:F37)</f>
        <v>30000</v>
      </c>
      <c r="H37" s="78"/>
      <c r="I37" s="78">
        <f>SUM(G37:H37)</f>
        <v>30000</v>
      </c>
      <c r="J37" s="78"/>
      <c r="K37" s="78">
        <f>SUM(I37:J37)</f>
        <v>30000</v>
      </c>
      <c r="L37" s="78"/>
      <c r="M37" s="78">
        <f>SUM(K37:L37)</f>
        <v>30000</v>
      </c>
      <c r="N37" s="78"/>
      <c r="O37" s="78">
        <f>SUM(M37:N37)</f>
        <v>30000</v>
      </c>
      <c r="P37" s="78"/>
      <c r="Q37" s="78">
        <f>SUM(O37:P37)</f>
        <v>30000</v>
      </c>
      <c r="R37" s="78"/>
      <c r="S37" s="78">
        <f>SUM(Q37:R37)</f>
        <v>30000</v>
      </c>
      <c r="T37" s="78"/>
      <c r="U37" s="78">
        <f>SUM(S37:T37)</f>
        <v>30000</v>
      </c>
      <c r="V37" s="78"/>
      <c r="W37" s="78">
        <f>SUM(U37:V37)</f>
        <v>30000</v>
      </c>
      <c r="X37" s="78"/>
      <c r="Y37" s="78">
        <f>SUM(W37:X37)</f>
        <v>30000</v>
      </c>
      <c r="Z37" s="78"/>
      <c r="AA37" s="78">
        <f>SUM(Y37:Z37)</f>
        <v>30000</v>
      </c>
      <c r="AB37" s="78"/>
      <c r="AC37" s="78">
        <f>SUM(AA37:AB37)</f>
        <v>30000</v>
      </c>
      <c r="AD37" s="78"/>
      <c r="AE37" s="78">
        <f>SUM(AC37:AD37)</f>
        <v>30000</v>
      </c>
      <c r="AF37" s="78"/>
      <c r="AG37" s="78">
        <f>SUM(AE37:AF37)</f>
        <v>30000</v>
      </c>
      <c r="AH37" s="78"/>
      <c r="AI37" s="78">
        <f>SUM(AG37:AH37)</f>
        <v>30000</v>
      </c>
      <c r="AJ37" s="78"/>
      <c r="AK37" s="78">
        <f>SUM(AI37:AJ37)</f>
        <v>30000</v>
      </c>
      <c r="AL37" s="78"/>
      <c r="AM37" s="78">
        <f>SUM(AK37:AL37)</f>
        <v>30000</v>
      </c>
    </row>
    <row r="38" spans="1:39" s="23" customFormat="1" ht="21" customHeight="1">
      <c r="A38" s="64"/>
      <c r="B38" s="79" t="s">
        <v>10</v>
      </c>
      <c r="C38" s="83"/>
      <c r="D38" s="37" t="s">
        <v>146</v>
      </c>
      <c r="E38" s="78">
        <f aca="true" t="shared" si="38" ref="E38:W38">SUM(E39:E50)</f>
        <v>2461932</v>
      </c>
      <c r="F38" s="78">
        <f t="shared" si="38"/>
        <v>-500000</v>
      </c>
      <c r="G38" s="78">
        <f t="shared" si="38"/>
        <v>1961932</v>
      </c>
      <c r="H38" s="78">
        <f t="shared" si="38"/>
        <v>0</v>
      </c>
      <c r="I38" s="78">
        <f t="shared" si="38"/>
        <v>1961932</v>
      </c>
      <c r="J38" s="78">
        <f t="shared" si="38"/>
        <v>0</v>
      </c>
      <c r="K38" s="78">
        <f t="shared" si="38"/>
        <v>1961932</v>
      </c>
      <c r="L38" s="78">
        <f t="shared" si="38"/>
        <v>191405</v>
      </c>
      <c r="M38" s="78">
        <f t="shared" si="38"/>
        <v>2153337</v>
      </c>
      <c r="N38" s="78">
        <f t="shared" si="38"/>
        <v>0</v>
      </c>
      <c r="O38" s="78">
        <f t="shared" si="38"/>
        <v>2153337</v>
      </c>
      <c r="P38" s="78">
        <f t="shared" si="38"/>
        <v>-2500</v>
      </c>
      <c r="Q38" s="78">
        <f t="shared" si="38"/>
        <v>2150837</v>
      </c>
      <c r="R38" s="78">
        <f t="shared" si="38"/>
        <v>0</v>
      </c>
      <c r="S38" s="78">
        <f t="shared" si="38"/>
        <v>2150837</v>
      </c>
      <c r="T38" s="78">
        <f t="shared" si="38"/>
        <v>0</v>
      </c>
      <c r="U38" s="78">
        <f t="shared" si="38"/>
        <v>2150837</v>
      </c>
      <c r="V38" s="78">
        <f t="shared" si="38"/>
        <v>0</v>
      </c>
      <c r="W38" s="78">
        <f t="shared" si="38"/>
        <v>2150837</v>
      </c>
      <c r="X38" s="78">
        <f aca="true" t="shared" si="39" ref="X38:AC38">SUM(X39:X50)</f>
        <v>0</v>
      </c>
      <c r="Y38" s="78">
        <f t="shared" si="39"/>
        <v>2150837</v>
      </c>
      <c r="Z38" s="78">
        <f t="shared" si="39"/>
        <v>0</v>
      </c>
      <c r="AA38" s="78">
        <f t="shared" si="39"/>
        <v>2150837</v>
      </c>
      <c r="AB38" s="78">
        <f t="shared" si="39"/>
        <v>0</v>
      </c>
      <c r="AC38" s="78">
        <f t="shared" si="39"/>
        <v>2150837</v>
      </c>
      <c r="AD38" s="78">
        <f aca="true" t="shared" si="40" ref="AD38:AI38">SUM(AD39:AD50)</f>
        <v>0</v>
      </c>
      <c r="AE38" s="78">
        <f t="shared" si="40"/>
        <v>2150837</v>
      </c>
      <c r="AF38" s="78">
        <f t="shared" si="40"/>
        <v>0</v>
      </c>
      <c r="AG38" s="78">
        <f t="shared" si="40"/>
        <v>2150837</v>
      </c>
      <c r="AH38" s="78">
        <f t="shared" si="40"/>
        <v>0</v>
      </c>
      <c r="AI38" s="78">
        <f t="shared" si="40"/>
        <v>2150837</v>
      </c>
      <c r="AJ38" s="78">
        <f>SUM(AJ39:AJ50)</f>
        <v>0</v>
      </c>
      <c r="AK38" s="78">
        <f>SUM(AK39:AK50)</f>
        <v>2150837</v>
      </c>
      <c r="AL38" s="78">
        <f>SUM(AL39:AL50)</f>
        <v>0</v>
      </c>
      <c r="AM38" s="78">
        <f>SUM(AM39:AM50)</f>
        <v>2150837</v>
      </c>
    </row>
    <row r="39" spans="1:42" s="23" customFormat="1" ht="21" customHeight="1">
      <c r="A39" s="64"/>
      <c r="B39" s="79"/>
      <c r="C39" s="83">
        <v>4170</v>
      </c>
      <c r="D39" s="37" t="s">
        <v>189</v>
      </c>
      <c r="E39" s="78">
        <v>5000</v>
      </c>
      <c r="F39" s="78"/>
      <c r="G39" s="78">
        <f>SUM(E39:F39)</f>
        <v>5000</v>
      </c>
      <c r="H39" s="78"/>
      <c r="I39" s="78">
        <f>SUM(G39:H39)</f>
        <v>5000</v>
      </c>
      <c r="J39" s="78"/>
      <c r="K39" s="78">
        <f>SUM(I39:J39)</f>
        <v>5000</v>
      </c>
      <c r="L39" s="78"/>
      <c r="M39" s="78">
        <f>SUM(K39:L39)</f>
        <v>5000</v>
      </c>
      <c r="N39" s="78"/>
      <c r="O39" s="78">
        <f>SUM(M39:N39)</f>
        <v>5000</v>
      </c>
      <c r="P39" s="78"/>
      <c r="Q39" s="78">
        <f>SUM(O39:P39)</f>
        <v>5000</v>
      </c>
      <c r="R39" s="78"/>
      <c r="S39" s="78">
        <f>SUM(Q39:R39)</f>
        <v>5000</v>
      </c>
      <c r="T39" s="78"/>
      <c r="U39" s="78">
        <f>SUM(S39:T39)</f>
        <v>5000</v>
      </c>
      <c r="V39" s="78"/>
      <c r="W39" s="78">
        <f>SUM(U39:V39)</f>
        <v>5000</v>
      </c>
      <c r="X39" s="78"/>
      <c r="Y39" s="78">
        <f>SUM(W39:X39)</f>
        <v>5000</v>
      </c>
      <c r="Z39" s="78"/>
      <c r="AA39" s="78">
        <f>SUM(Y39:Z39)</f>
        <v>5000</v>
      </c>
      <c r="AB39" s="78"/>
      <c r="AC39" s="78">
        <f>SUM(AA39:AB39)</f>
        <v>5000</v>
      </c>
      <c r="AD39" s="78"/>
      <c r="AE39" s="78">
        <f>SUM(AC39:AD39)</f>
        <v>5000</v>
      </c>
      <c r="AF39" s="78"/>
      <c r="AG39" s="78">
        <f>SUM(AE39:AF39)</f>
        <v>5000</v>
      </c>
      <c r="AH39" s="78"/>
      <c r="AI39" s="78">
        <f>SUM(AG39:AH39)</f>
        <v>5000</v>
      </c>
      <c r="AJ39" s="78"/>
      <c r="AK39" s="78">
        <f>SUM(AI39:AJ39)</f>
        <v>5000</v>
      </c>
      <c r="AL39" s="78"/>
      <c r="AM39" s="78">
        <f>SUM(AK39:AL39)</f>
        <v>5000</v>
      </c>
      <c r="AN39" s="113"/>
      <c r="AO39" s="113"/>
      <c r="AP39" s="113"/>
    </row>
    <row r="40" spans="1:39" s="23" customFormat="1" ht="21" customHeight="1">
      <c r="A40" s="64"/>
      <c r="B40" s="79"/>
      <c r="C40" s="83">
        <v>4210</v>
      </c>
      <c r="D40" s="37" t="s">
        <v>71</v>
      </c>
      <c r="E40" s="78">
        <v>74000</v>
      </c>
      <c r="F40" s="78"/>
      <c r="G40" s="78">
        <f aca="true" t="shared" si="41" ref="G40:G50">SUM(E40:F40)</f>
        <v>74000</v>
      </c>
      <c r="H40" s="78"/>
      <c r="I40" s="78">
        <f aca="true" t="shared" si="42" ref="I40:I50">SUM(G40:H40)</f>
        <v>74000</v>
      </c>
      <c r="J40" s="78"/>
      <c r="K40" s="78">
        <f aca="true" t="shared" si="43" ref="K40:K50">SUM(I40:J40)</f>
        <v>74000</v>
      </c>
      <c r="L40" s="78"/>
      <c r="M40" s="78">
        <f aca="true" t="shared" si="44" ref="M40:M50">SUM(K40:L40)</f>
        <v>74000</v>
      </c>
      <c r="N40" s="78"/>
      <c r="O40" s="78">
        <f aca="true" t="shared" si="45" ref="O40:O50">SUM(M40:N40)</f>
        <v>74000</v>
      </c>
      <c r="P40" s="78"/>
      <c r="Q40" s="78">
        <f aca="true" t="shared" si="46" ref="Q40:Q50">SUM(O40:P40)</f>
        <v>74000</v>
      </c>
      <c r="R40" s="78"/>
      <c r="S40" s="78">
        <f aca="true" t="shared" si="47" ref="S40:S50">SUM(Q40:R40)</f>
        <v>74000</v>
      </c>
      <c r="T40" s="78"/>
      <c r="U40" s="78">
        <f aca="true" t="shared" si="48" ref="U40:U50">SUM(S40:T40)</f>
        <v>74000</v>
      </c>
      <c r="V40" s="78"/>
      <c r="W40" s="78">
        <f aca="true" t="shared" si="49" ref="W40:W50">SUM(U40:V40)</f>
        <v>74000</v>
      </c>
      <c r="X40" s="78"/>
      <c r="Y40" s="78">
        <f aca="true" t="shared" si="50" ref="Y40:Y50">SUM(W40:X40)</f>
        <v>74000</v>
      </c>
      <c r="Z40" s="78"/>
      <c r="AA40" s="78">
        <f aca="true" t="shared" si="51" ref="AA40:AA50">SUM(Y40:Z40)</f>
        <v>74000</v>
      </c>
      <c r="AB40" s="78"/>
      <c r="AC40" s="78">
        <f aca="true" t="shared" si="52" ref="AC40:AC50">SUM(AA40:AB40)</f>
        <v>74000</v>
      </c>
      <c r="AD40" s="78"/>
      <c r="AE40" s="78">
        <f aca="true" t="shared" si="53" ref="AE40:AE50">SUM(AC40:AD40)</f>
        <v>74000</v>
      </c>
      <c r="AF40" s="78">
        <v>-10000</v>
      </c>
      <c r="AG40" s="78">
        <f aca="true" t="shared" si="54" ref="AG40:AG50">SUM(AE40:AF40)</f>
        <v>64000</v>
      </c>
      <c r="AH40" s="78"/>
      <c r="AI40" s="78">
        <f aca="true" t="shared" si="55" ref="AI40:AI50">SUM(AG40:AH40)</f>
        <v>64000</v>
      </c>
      <c r="AJ40" s="78"/>
      <c r="AK40" s="78">
        <f aca="true" t="shared" si="56" ref="AK40:AK50">SUM(AI40:AJ40)</f>
        <v>64000</v>
      </c>
      <c r="AL40" s="78"/>
      <c r="AM40" s="78">
        <f aca="true" t="shared" si="57" ref="AM40:AM50">SUM(AK40:AL40)</f>
        <v>64000</v>
      </c>
    </row>
    <row r="41" spans="1:39" s="23" customFormat="1" ht="21" customHeight="1">
      <c r="A41" s="64"/>
      <c r="B41" s="79"/>
      <c r="C41" s="83">
        <v>4260</v>
      </c>
      <c r="D41" s="37" t="s">
        <v>94</v>
      </c>
      <c r="E41" s="78">
        <v>73800</v>
      </c>
      <c r="F41" s="78"/>
      <c r="G41" s="78">
        <f t="shared" si="41"/>
        <v>73800</v>
      </c>
      <c r="H41" s="78"/>
      <c r="I41" s="78">
        <f t="shared" si="42"/>
        <v>73800</v>
      </c>
      <c r="J41" s="78"/>
      <c r="K41" s="78">
        <f t="shared" si="43"/>
        <v>73800</v>
      </c>
      <c r="L41" s="78"/>
      <c r="M41" s="78">
        <f t="shared" si="44"/>
        <v>73800</v>
      </c>
      <c r="N41" s="78"/>
      <c r="O41" s="78">
        <f t="shared" si="45"/>
        <v>73800</v>
      </c>
      <c r="P41" s="78"/>
      <c r="Q41" s="78">
        <f t="shared" si="46"/>
        <v>73800</v>
      </c>
      <c r="R41" s="78"/>
      <c r="S41" s="78">
        <f t="shared" si="47"/>
        <v>73800</v>
      </c>
      <c r="T41" s="78"/>
      <c r="U41" s="78">
        <f t="shared" si="48"/>
        <v>73800</v>
      </c>
      <c r="V41" s="78"/>
      <c r="W41" s="78">
        <f t="shared" si="49"/>
        <v>73800</v>
      </c>
      <c r="X41" s="78"/>
      <c r="Y41" s="78">
        <f t="shared" si="50"/>
        <v>73800</v>
      </c>
      <c r="Z41" s="78"/>
      <c r="AA41" s="78">
        <f t="shared" si="51"/>
        <v>73800</v>
      </c>
      <c r="AB41" s="78"/>
      <c r="AC41" s="78">
        <f t="shared" si="52"/>
        <v>73800</v>
      </c>
      <c r="AD41" s="78"/>
      <c r="AE41" s="78">
        <f t="shared" si="53"/>
        <v>73800</v>
      </c>
      <c r="AF41" s="78">
        <v>-10000</v>
      </c>
      <c r="AG41" s="78">
        <f t="shared" si="54"/>
        <v>63800</v>
      </c>
      <c r="AH41" s="78"/>
      <c r="AI41" s="78">
        <f t="shared" si="55"/>
        <v>63800</v>
      </c>
      <c r="AJ41" s="78"/>
      <c r="AK41" s="78">
        <f t="shared" si="56"/>
        <v>63800</v>
      </c>
      <c r="AL41" s="78"/>
      <c r="AM41" s="78">
        <f t="shared" si="57"/>
        <v>63800</v>
      </c>
    </row>
    <row r="42" spans="1:39" s="23" customFormat="1" ht="21" customHeight="1">
      <c r="A42" s="64"/>
      <c r="B42" s="79"/>
      <c r="C42" s="83">
        <v>4270</v>
      </c>
      <c r="D42" s="37" t="s">
        <v>77</v>
      </c>
      <c r="E42" s="78">
        <v>1200000</v>
      </c>
      <c r="F42" s="78">
        <v>-500000</v>
      </c>
      <c r="G42" s="78">
        <f t="shared" si="41"/>
        <v>700000</v>
      </c>
      <c r="H42" s="78"/>
      <c r="I42" s="78">
        <f t="shared" si="42"/>
        <v>700000</v>
      </c>
      <c r="J42" s="78"/>
      <c r="K42" s="78">
        <f t="shared" si="43"/>
        <v>700000</v>
      </c>
      <c r="L42" s="78"/>
      <c r="M42" s="78">
        <f t="shared" si="44"/>
        <v>700000</v>
      </c>
      <c r="N42" s="78"/>
      <c r="O42" s="78">
        <f t="shared" si="45"/>
        <v>700000</v>
      </c>
      <c r="P42" s="78"/>
      <c r="Q42" s="78">
        <f t="shared" si="46"/>
        <v>700000</v>
      </c>
      <c r="R42" s="78"/>
      <c r="S42" s="78">
        <f t="shared" si="47"/>
        <v>700000</v>
      </c>
      <c r="T42" s="78"/>
      <c r="U42" s="78">
        <f t="shared" si="48"/>
        <v>700000</v>
      </c>
      <c r="V42" s="78"/>
      <c r="W42" s="78">
        <f t="shared" si="49"/>
        <v>700000</v>
      </c>
      <c r="X42" s="78"/>
      <c r="Y42" s="78">
        <f t="shared" si="50"/>
        <v>700000</v>
      </c>
      <c r="Z42" s="78"/>
      <c r="AA42" s="78">
        <f t="shared" si="51"/>
        <v>700000</v>
      </c>
      <c r="AB42" s="78"/>
      <c r="AC42" s="78">
        <f t="shared" si="52"/>
        <v>700000</v>
      </c>
      <c r="AD42" s="78"/>
      <c r="AE42" s="78">
        <f t="shared" si="53"/>
        <v>700000</v>
      </c>
      <c r="AF42" s="78">
        <v>50000</v>
      </c>
      <c r="AG42" s="78">
        <f t="shared" si="54"/>
        <v>750000</v>
      </c>
      <c r="AH42" s="78">
        <v>9000</v>
      </c>
      <c r="AI42" s="78">
        <f t="shared" si="55"/>
        <v>759000</v>
      </c>
      <c r="AJ42" s="78"/>
      <c r="AK42" s="78">
        <f t="shared" si="56"/>
        <v>759000</v>
      </c>
      <c r="AL42" s="78"/>
      <c r="AM42" s="78">
        <f t="shared" si="57"/>
        <v>759000</v>
      </c>
    </row>
    <row r="43" spans="1:39" s="163" customFormat="1" ht="21" customHeight="1">
      <c r="A43" s="64"/>
      <c r="B43" s="84"/>
      <c r="C43" s="64">
        <v>4300</v>
      </c>
      <c r="D43" s="37" t="s">
        <v>78</v>
      </c>
      <c r="E43" s="78">
        <f>600+201200+90000-5000</f>
        <v>286800</v>
      </c>
      <c r="F43" s="78"/>
      <c r="G43" s="78">
        <f t="shared" si="41"/>
        <v>286800</v>
      </c>
      <c r="H43" s="78"/>
      <c r="I43" s="78">
        <f t="shared" si="42"/>
        <v>286800</v>
      </c>
      <c r="J43" s="78">
        <v>-10000</v>
      </c>
      <c r="K43" s="78">
        <f t="shared" si="43"/>
        <v>276800</v>
      </c>
      <c r="L43" s="78">
        <f>29253-1296</f>
        <v>27957</v>
      </c>
      <c r="M43" s="78">
        <f t="shared" si="44"/>
        <v>304757</v>
      </c>
      <c r="N43" s="78"/>
      <c r="O43" s="78">
        <f t="shared" si="45"/>
        <v>304757</v>
      </c>
      <c r="P43" s="78">
        <v>-2500</v>
      </c>
      <c r="Q43" s="78">
        <f t="shared" si="46"/>
        <v>302257</v>
      </c>
      <c r="R43" s="78"/>
      <c r="S43" s="78">
        <f t="shared" si="47"/>
        <v>302257</v>
      </c>
      <c r="T43" s="78"/>
      <c r="U43" s="78">
        <f t="shared" si="48"/>
        <v>302257</v>
      </c>
      <c r="V43" s="78"/>
      <c r="W43" s="78">
        <f t="shared" si="49"/>
        <v>302257</v>
      </c>
      <c r="X43" s="78"/>
      <c r="Y43" s="78">
        <f t="shared" si="50"/>
        <v>302257</v>
      </c>
      <c r="Z43" s="78"/>
      <c r="AA43" s="78">
        <f t="shared" si="51"/>
        <v>302257</v>
      </c>
      <c r="AB43" s="78"/>
      <c r="AC43" s="78">
        <f t="shared" si="52"/>
        <v>302257</v>
      </c>
      <c r="AD43" s="78"/>
      <c r="AE43" s="78">
        <f t="shared" si="53"/>
        <v>302257</v>
      </c>
      <c r="AF43" s="78">
        <v>-30000</v>
      </c>
      <c r="AG43" s="78">
        <f t="shared" si="54"/>
        <v>272257</v>
      </c>
      <c r="AH43" s="78"/>
      <c r="AI43" s="78">
        <f t="shared" si="55"/>
        <v>272257</v>
      </c>
      <c r="AJ43" s="78"/>
      <c r="AK43" s="78">
        <f t="shared" si="56"/>
        <v>272257</v>
      </c>
      <c r="AL43" s="78">
        <v>20000</v>
      </c>
      <c r="AM43" s="78">
        <f t="shared" si="57"/>
        <v>292257</v>
      </c>
    </row>
    <row r="44" spans="1:39" s="163" customFormat="1" ht="21" customHeight="1">
      <c r="A44" s="64"/>
      <c r="B44" s="84"/>
      <c r="C44" s="64">
        <v>4390</v>
      </c>
      <c r="D44" s="37" t="s">
        <v>239</v>
      </c>
      <c r="E44" s="78"/>
      <c r="F44" s="78"/>
      <c r="G44" s="78"/>
      <c r="H44" s="78"/>
      <c r="I44" s="78">
        <v>0</v>
      </c>
      <c r="J44" s="78">
        <v>10000</v>
      </c>
      <c r="K44" s="78">
        <f t="shared" si="43"/>
        <v>10000</v>
      </c>
      <c r="L44" s="78"/>
      <c r="M44" s="78">
        <f t="shared" si="44"/>
        <v>10000</v>
      </c>
      <c r="N44" s="78"/>
      <c r="O44" s="78">
        <f t="shared" si="45"/>
        <v>10000</v>
      </c>
      <c r="P44" s="78"/>
      <c r="Q44" s="78">
        <f t="shared" si="46"/>
        <v>10000</v>
      </c>
      <c r="R44" s="78"/>
      <c r="S44" s="78">
        <f t="shared" si="47"/>
        <v>10000</v>
      </c>
      <c r="T44" s="78"/>
      <c r="U44" s="78">
        <f t="shared" si="48"/>
        <v>10000</v>
      </c>
      <c r="V44" s="78"/>
      <c r="W44" s="78">
        <f t="shared" si="49"/>
        <v>10000</v>
      </c>
      <c r="X44" s="78"/>
      <c r="Y44" s="78">
        <f t="shared" si="50"/>
        <v>10000</v>
      </c>
      <c r="Z44" s="78"/>
      <c r="AA44" s="78">
        <f t="shared" si="51"/>
        <v>10000</v>
      </c>
      <c r="AB44" s="78"/>
      <c r="AC44" s="78">
        <f t="shared" si="52"/>
        <v>10000</v>
      </c>
      <c r="AD44" s="78"/>
      <c r="AE44" s="78">
        <f t="shared" si="53"/>
        <v>10000</v>
      </c>
      <c r="AF44" s="78"/>
      <c r="AG44" s="78">
        <f t="shared" si="54"/>
        <v>10000</v>
      </c>
      <c r="AH44" s="78"/>
      <c r="AI44" s="78">
        <f t="shared" si="55"/>
        <v>10000</v>
      </c>
      <c r="AJ44" s="78"/>
      <c r="AK44" s="78">
        <f t="shared" si="56"/>
        <v>10000</v>
      </c>
      <c r="AL44" s="78"/>
      <c r="AM44" s="78">
        <f t="shared" si="57"/>
        <v>10000</v>
      </c>
    </row>
    <row r="45" spans="1:39" s="23" customFormat="1" ht="26.25" customHeight="1">
      <c r="A45" s="64"/>
      <c r="B45" s="84"/>
      <c r="C45" s="64">
        <v>4400</v>
      </c>
      <c r="D45" s="37" t="s">
        <v>226</v>
      </c>
      <c r="E45" s="78">
        <v>786500</v>
      </c>
      <c r="F45" s="78"/>
      <c r="G45" s="78">
        <f t="shared" si="41"/>
        <v>786500</v>
      </c>
      <c r="H45" s="78"/>
      <c r="I45" s="78">
        <f t="shared" si="42"/>
        <v>786500</v>
      </c>
      <c r="J45" s="78"/>
      <c r="K45" s="78">
        <f t="shared" si="43"/>
        <v>786500</v>
      </c>
      <c r="L45" s="78"/>
      <c r="M45" s="78">
        <f t="shared" si="44"/>
        <v>786500</v>
      </c>
      <c r="N45" s="78"/>
      <c r="O45" s="78">
        <f t="shared" si="45"/>
        <v>786500</v>
      </c>
      <c r="P45" s="78"/>
      <c r="Q45" s="78">
        <f t="shared" si="46"/>
        <v>786500</v>
      </c>
      <c r="R45" s="78"/>
      <c r="S45" s="78">
        <f t="shared" si="47"/>
        <v>786500</v>
      </c>
      <c r="T45" s="78"/>
      <c r="U45" s="78">
        <f t="shared" si="48"/>
        <v>786500</v>
      </c>
      <c r="V45" s="78"/>
      <c r="W45" s="78">
        <f t="shared" si="49"/>
        <v>786500</v>
      </c>
      <c r="X45" s="78"/>
      <c r="Y45" s="78">
        <f t="shared" si="50"/>
        <v>786500</v>
      </c>
      <c r="Z45" s="78"/>
      <c r="AA45" s="78">
        <f t="shared" si="51"/>
        <v>786500</v>
      </c>
      <c r="AB45" s="78"/>
      <c r="AC45" s="78">
        <f t="shared" si="52"/>
        <v>786500</v>
      </c>
      <c r="AD45" s="78"/>
      <c r="AE45" s="78">
        <f t="shared" si="53"/>
        <v>786500</v>
      </c>
      <c r="AF45" s="78"/>
      <c r="AG45" s="78">
        <f t="shared" si="54"/>
        <v>786500</v>
      </c>
      <c r="AH45" s="78">
        <v>-9000</v>
      </c>
      <c r="AI45" s="78">
        <f t="shared" si="55"/>
        <v>777500</v>
      </c>
      <c r="AJ45" s="78"/>
      <c r="AK45" s="78">
        <f t="shared" si="56"/>
        <v>777500</v>
      </c>
      <c r="AL45" s="78"/>
      <c r="AM45" s="78">
        <f t="shared" si="57"/>
        <v>777500</v>
      </c>
    </row>
    <row r="46" spans="1:39" s="23" customFormat="1" ht="21.75" customHeight="1">
      <c r="A46" s="64"/>
      <c r="B46" s="84"/>
      <c r="C46" s="64">
        <v>4430</v>
      </c>
      <c r="D46" s="37" t="s">
        <v>93</v>
      </c>
      <c r="E46" s="78">
        <v>5000</v>
      </c>
      <c r="F46" s="78"/>
      <c r="G46" s="78">
        <f t="shared" si="41"/>
        <v>5000</v>
      </c>
      <c r="H46" s="78"/>
      <c r="I46" s="78">
        <f t="shared" si="42"/>
        <v>5000</v>
      </c>
      <c r="J46" s="78"/>
      <c r="K46" s="78">
        <f t="shared" si="43"/>
        <v>5000</v>
      </c>
      <c r="L46" s="78"/>
      <c r="M46" s="78">
        <f t="shared" si="44"/>
        <v>5000</v>
      </c>
      <c r="N46" s="78"/>
      <c r="O46" s="78">
        <f t="shared" si="45"/>
        <v>5000</v>
      </c>
      <c r="P46" s="78"/>
      <c r="Q46" s="78">
        <f t="shared" si="46"/>
        <v>5000</v>
      </c>
      <c r="R46" s="78"/>
      <c r="S46" s="78">
        <f t="shared" si="47"/>
        <v>5000</v>
      </c>
      <c r="T46" s="78"/>
      <c r="U46" s="78">
        <f t="shared" si="48"/>
        <v>5000</v>
      </c>
      <c r="V46" s="78"/>
      <c r="W46" s="78">
        <f t="shared" si="49"/>
        <v>5000</v>
      </c>
      <c r="X46" s="78"/>
      <c r="Y46" s="78">
        <f t="shared" si="50"/>
        <v>5000</v>
      </c>
      <c r="Z46" s="78"/>
      <c r="AA46" s="78">
        <f t="shared" si="51"/>
        <v>5000</v>
      </c>
      <c r="AB46" s="78"/>
      <c r="AC46" s="78">
        <f t="shared" si="52"/>
        <v>5000</v>
      </c>
      <c r="AD46" s="78"/>
      <c r="AE46" s="78">
        <f t="shared" si="53"/>
        <v>5000</v>
      </c>
      <c r="AF46" s="78"/>
      <c r="AG46" s="78">
        <f t="shared" si="54"/>
        <v>5000</v>
      </c>
      <c r="AH46" s="78"/>
      <c r="AI46" s="78">
        <f t="shared" si="55"/>
        <v>5000</v>
      </c>
      <c r="AJ46" s="78"/>
      <c r="AK46" s="78">
        <f t="shared" si="56"/>
        <v>5000</v>
      </c>
      <c r="AL46" s="78"/>
      <c r="AM46" s="78">
        <f t="shared" si="57"/>
        <v>5000</v>
      </c>
    </row>
    <row r="47" spans="1:39" s="23" customFormat="1" ht="21" customHeight="1">
      <c r="A47" s="64"/>
      <c r="B47" s="84"/>
      <c r="C47" s="64">
        <v>4480</v>
      </c>
      <c r="D47" s="37" t="s">
        <v>30</v>
      </c>
      <c r="E47" s="78">
        <v>132</v>
      </c>
      <c r="F47" s="78"/>
      <c r="G47" s="78">
        <f t="shared" si="41"/>
        <v>132</v>
      </c>
      <c r="H47" s="78"/>
      <c r="I47" s="78">
        <f t="shared" si="42"/>
        <v>132</v>
      </c>
      <c r="J47" s="78"/>
      <c r="K47" s="78">
        <f t="shared" si="43"/>
        <v>132</v>
      </c>
      <c r="L47" s="78">
        <v>157782</v>
      </c>
      <c r="M47" s="78">
        <f t="shared" si="44"/>
        <v>157914</v>
      </c>
      <c r="N47" s="78"/>
      <c r="O47" s="78">
        <f t="shared" si="45"/>
        <v>157914</v>
      </c>
      <c r="P47" s="78"/>
      <c r="Q47" s="78">
        <f t="shared" si="46"/>
        <v>157914</v>
      </c>
      <c r="R47" s="78"/>
      <c r="S47" s="78">
        <f t="shared" si="47"/>
        <v>157914</v>
      </c>
      <c r="T47" s="78"/>
      <c r="U47" s="78">
        <f t="shared" si="48"/>
        <v>157914</v>
      </c>
      <c r="V47" s="78"/>
      <c r="W47" s="78">
        <f t="shared" si="49"/>
        <v>157914</v>
      </c>
      <c r="X47" s="78"/>
      <c r="Y47" s="78">
        <f t="shared" si="50"/>
        <v>157914</v>
      </c>
      <c r="Z47" s="78"/>
      <c r="AA47" s="78">
        <f t="shared" si="51"/>
        <v>157914</v>
      </c>
      <c r="AB47" s="78"/>
      <c r="AC47" s="78">
        <f t="shared" si="52"/>
        <v>157914</v>
      </c>
      <c r="AD47" s="78"/>
      <c r="AE47" s="78">
        <f t="shared" si="53"/>
        <v>157914</v>
      </c>
      <c r="AF47" s="78"/>
      <c r="AG47" s="78">
        <f t="shared" si="54"/>
        <v>157914</v>
      </c>
      <c r="AH47" s="78"/>
      <c r="AI47" s="78">
        <f t="shared" si="55"/>
        <v>157914</v>
      </c>
      <c r="AJ47" s="78"/>
      <c r="AK47" s="78">
        <f t="shared" si="56"/>
        <v>157914</v>
      </c>
      <c r="AL47" s="78"/>
      <c r="AM47" s="78">
        <f t="shared" si="57"/>
        <v>157914</v>
      </c>
    </row>
    <row r="48" spans="1:39" s="23" customFormat="1" ht="24">
      <c r="A48" s="64"/>
      <c r="B48" s="84"/>
      <c r="C48" s="64">
        <v>4500</v>
      </c>
      <c r="D48" s="37" t="s">
        <v>335</v>
      </c>
      <c r="E48" s="78"/>
      <c r="F48" s="78"/>
      <c r="G48" s="78"/>
      <c r="H48" s="78"/>
      <c r="I48" s="78"/>
      <c r="J48" s="78"/>
      <c r="K48" s="78">
        <v>0</v>
      </c>
      <c r="L48" s="78">
        <v>4919</v>
      </c>
      <c r="M48" s="78">
        <f t="shared" si="44"/>
        <v>4919</v>
      </c>
      <c r="N48" s="78"/>
      <c r="O48" s="78">
        <f t="shared" si="45"/>
        <v>4919</v>
      </c>
      <c r="P48" s="78"/>
      <c r="Q48" s="78">
        <f t="shared" si="46"/>
        <v>4919</v>
      </c>
      <c r="R48" s="78"/>
      <c r="S48" s="78">
        <f t="shared" si="47"/>
        <v>4919</v>
      </c>
      <c r="T48" s="78"/>
      <c r="U48" s="78">
        <f t="shared" si="48"/>
        <v>4919</v>
      </c>
      <c r="V48" s="78"/>
      <c r="W48" s="78">
        <f t="shared" si="49"/>
        <v>4919</v>
      </c>
      <c r="X48" s="78"/>
      <c r="Y48" s="78">
        <f t="shared" si="50"/>
        <v>4919</v>
      </c>
      <c r="Z48" s="78"/>
      <c r="AA48" s="78">
        <f t="shared" si="51"/>
        <v>4919</v>
      </c>
      <c r="AB48" s="78"/>
      <c r="AC48" s="78">
        <f t="shared" si="52"/>
        <v>4919</v>
      </c>
      <c r="AD48" s="78"/>
      <c r="AE48" s="78">
        <f t="shared" si="53"/>
        <v>4919</v>
      </c>
      <c r="AF48" s="78"/>
      <c r="AG48" s="78">
        <f t="shared" si="54"/>
        <v>4919</v>
      </c>
      <c r="AH48" s="78"/>
      <c r="AI48" s="78">
        <f t="shared" si="55"/>
        <v>4919</v>
      </c>
      <c r="AJ48" s="78"/>
      <c r="AK48" s="78">
        <f t="shared" si="56"/>
        <v>4919</v>
      </c>
      <c r="AL48" s="78"/>
      <c r="AM48" s="78">
        <f t="shared" si="57"/>
        <v>4919</v>
      </c>
    </row>
    <row r="49" spans="1:39" s="23" customFormat="1" ht="21" customHeight="1">
      <c r="A49" s="64"/>
      <c r="B49" s="84"/>
      <c r="C49" s="83">
        <v>4510</v>
      </c>
      <c r="D49" s="37" t="s">
        <v>144</v>
      </c>
      <c r="E49" s="78">
        <v>700</v>
      </c>
      <c r="F49" s="78"/>
      <c r="G49" s="78">
        <f t="shared" si="41"/>
        <v>700</v>
      </c>
      <c r="H49" s="78"/>
      <c r="I49" s="78">
        <f t="shared" si="42"/>
        <v>700</v>
      </c>
      <c r="J49" s="78"/>
      <c r="K49" s="78">
        <f t="shared" si="43"/>
        <v>700</v>
      </c>
      <c r="L49" s="78">
        <v>747</v>
      </c>
      <c r="M49" s="78">
        <f t="shared" si="44"/>
        <v>1447</v>
      </c>
      <c r="N49" s="78"/>
      <c r="O49" s="78">
        <f t="shared" si="45"/>
        <v>1447</v>
      </c>
      <c r="P49" s="78"/>
      <c r="Q49" s="78">
        <f t="shared" si="46"/>
        <v>1447</v>
      </c>
      <c r="R49" s="78"/>
      <c r="S49" s="78">
        <f t="shared" si="47"/>
        <v>1447</v>
      </c>
      <c r="T49" s="78"/>
      <c r="U49" s="78">
        <f t="shared" si="48"/>
        <v>1447</v>
      </c>
      <c r="V49" s="78"/>
      <c r="W49" s="78">
        <f t="shared" si="49"/>
        <v>1447</v>
      </c>
      <c r="X49" s="78"/>
      <c r="Y49" s="78">
        <f t="shared" si="50"/>
        <v>1447</v>
      </c>
      <c r="Z49" s="78"/>
      <c r="AA49" s="78">
        <f t="shared" si="51"/>
        <v>1447</v>
      </c>
      <c r="AB49" s="78"/>
      <c r="AC49" s="78">
        <f t="shared" si="52"/>
        <v>1447</v>
      </c>
      <c r="AD49" s="78"/>
      <c r="AE49" s="78">
        <f t="shared" si="53"/>
        <v>1447</v>
      </c>
      <c r="AF49" s="78"/>
      <c r="AG49" s="78">
        <f t="shared" si="54"/>
        <v>1447</v>
      </c>
      <c r="AH49" s="78"/>
      <c r="AI49" s="78">
        <f t="shared" si="55"/>
        <v>1447</v>
      </c>
      <c r="AJ49" s="78"/>
      <c r="AK49" s="78">
        <f t="shared" si="56"/>
        <v>1447</v>
      </c>
      <c r="AL49" s="78"/>
      <c r="AM49" s="78">
        <f t="shared" si="57"/>
        <v>1447</v>
      </c>
    </row>
    <row r="50" spans="1:39" s="23" customFormat="1" ht="24">
      <c r="A50" s="64"/>
      <c r="B50" s="84"/>
      <c r="C50" s="83">
        <v>4610</v>
      </c>
      <c r="D50" s="37" t="s">
        <v>180</v>
      </c>
      <c r="E50" s="78">
        <v>30000</v>
      </c>
      <c r="F50" s="78"/>
      <c r="G50" s="78">
        <f t="shared" si="41"/>
        <v>30000</v>
      </c>
      <c r="H50" s="78"/>
      <c r="I50" s="78">
        <f t="shared" si="42"/>
        <v>30000</v>
      </c>
      <c r="J50" s="78"/>
      <c r="K50" s="78">
        <f t="shared" si="43"/>
        <v>30000</v>
      </c>
      <c r="L50" s="78"/>
      <c r="M50" s="78">
        <f t="shared" si="44"/>
        <v>30000</v>
      </c>
      <c r="N50" s="78"/>
      <c r="O50" s="78">
        <f t="shared" si="45"/>
        <v>30000</v>
      </c>
      <c r="P50" s="78"/>
      <c r="Q50" s="78">
        <f t="shared" si="46"/>
        <v>30000</v>
      </c>
      <c r="R50" s="78"/>
      <c r="S50" s="78">
        <f t="shared" si="47"/>
        <v>30000</v>
      </c>
      <c r="T50" s="78"/>
      <c r="U50" s="78">
        <f t="shared" si="48"/>
        <v>30000</v>
      </c>
      <c r="V50" s="78"/>
      <c r="W50" s="78">
        <f t="shared" si="49"/>
        <v>30000</v>
      </c>
      <c r="X50" s="78"/>
      <c r="Y50" s="78">
        <f t="shared" si="50"/>
        <v>30000</v>
      </c>
      <c r="Z50" s="78"/>
      <c r="AA50" s="78">
        <f t="shared" si="51"/>
        <v>30000</v>
      </c>
      <c r="AB50" s="78"/>
      <c r="AC50" s="78">
        <f t="shared" si="52"/>
        <v>30000</v>
      </c>
      <c r="AD50" s="78"/>
      <c r="AE50" s="78">
        <f t="shared" si="53"/>
        <v>30000</v>
      </c>
      <c r="AF50" s="78"/>
      <c r="AG50" s="78">
        <f t="shared" si="54"/>
        <v>30000</v>
      </c>
      <c r="AH50" s="78"/>
      <c r="AI50" s="78">
        <f t="shared" si="55"/>
        <v>30000</v>
      </c>
      <c r="AJ50" s="78"/>
      <c r="AK50" s="78">
        <f t="shared" si="56"/>
        <v>30000</v>
      </c>
      <c r="AL50" s="78">
        <v>-20000</v>
      </c>
      <c r="AM50" s="78">
        <f t="shared" si="57"/>
        <v>10000</v>
      </c>
    </row>
    <row r="51" spans="1:39" s="23" customFormat="1" ht="21" customHeight="1">
      <c r="A51" s="64"/>
      <c r="B51" s="79">
        <v>70095</v>
      </c>
      <c r="C51" s="83"/>
      <c r="D51" s="37" t="s">
        <v>6</v>
      </c>
      <c r="E51" s="78">
        <f aca="true" t="shared" si="58" ref="E51:W51">SUM(E52:E55)</f>
        <v>500585</v>
      </c>
      <c r="F51" s="78">
        <f t="shared" si="58"/>
        <v>-200000</v>
      </c>
      <c r="G51" s="78">
        <f t="shared" si="58"/>
        <v>300585</v>
      </c>
      <c r="H51" s="78">
        <f t="shared" si="58"/>
        <v>0</v>
      </c>
      <c r="I51" s="78">
        <f t="shared" si="58"/>
        <v>300585</v>
      </c>
      <c r="J51" s="78">
        <f t="shared" si="58"/>
        <v>0</v>
      </c>
      <c r="K51" s="78">
        <f t="shared" si="58"/>
        <v>300585</v>
      </c>
      <c r="L51" s="78">
        <f t="shared" si="58"/>
        <v>0</v>
      </c>
      <c r="M51" s="78">
        <f t="shared" si="58"/>
        <v>300585</v>
      </c>
      <c r="N51" s="78">
        <f t="shared" si="58"/>
        <v>0</v>
      </c>
      <c r="O51" s="78">
        <f t="shared" si="58"/>
        <v>300585</v>
      </c>
      <c r="P51" s="78">
        <f t="shared" si="58"/>
        <v>2500</v>
      </c>
      <c r="Q51" s="78">
        <f t="shared" si="58"/>
        <v>303085</v>
      </c>
      <c r="R51" s="78">
        <f t="shared" si="58"/>
        <v>0</v>
      </c>
      <c r="S51" s="78">
        <f t="shared" si="58"/>
        <v>303085</v>
      </c>
      <c r="T51" s="78">
        <f t="shared" si="58"/>
        <v>0</v>
      </c>
      <c r="U51" s="78">
        <f t="shared" si="58"/>
        <v>303085</v>
      </c>
      <c r="V51" s="78">
        <f t="shared" si="58"/>
        <v>0</v>
      </c>
      <c r="W51" s="78">
        <f t="shared" si="58"/>
        <v>303085</v>
      </c>
      <c r="X51" s="78">
        <f aca="true" t="shared" si="59" ref="X51:AC51">SUM(X52:X55)</f>
        <v>0</v>
      </c>
      <c r="Y51" s="78">
        <f t="shared" si="59"/>
        <v>303085</v>
      </c>
      <c r="Z51" s="78">
        <f t="shared" si="59"/>
        <v>0</v>
      </c>
      <c r="AA51" s="78">
        <f t="shared" si="59"/>
        <v>303085</v>
      </c>
      <c r="AB51" s="78">
        <f t="shared" si="59"/>
        <v>0</v>
      </c>
      <c r="AC51" s="78">
        <f t="shared" si="59"/>
        <v>303085</v>
      </c>
      <c r="AD51" s="78">
        <f aca="true" t="shared" si="60" ref="AD51:AI51">SUM(AD52:AD55)</f>
        <v>0</v>
      </c>
      <c r="AE51" s="78">
        <f t="shared" si="60"/>
        <v>303085</v>
      </c>
      <c r="AF51" s="78">
        <f t="shared" si="60"/>
        <v>0</v>
      </c>
      <c r="AG51" s="78">
        <f t="shared" si="60"/>
        <v>303085</v>
      </c>
      <c r="AH51" s="78">
        <f t="shared" si="60"/>
        <v>0</v>
      </c>
      <c r="AI51" s="78">
        <f t="shared" si="60"/>
        <v>303085</v>
      </c>
      <c r="AJ51" s="78">
        <f>SUM(AJ52:AJ55)</f>
        <v>-12</v>
      </c>
      <c r="AK51" s="78">
        <f>SUM(AK52:AK55)</f>
        <v>303073</v>
      </c>
      <c r="AL51" s="78">
        <f>SUM(AL52:AL55)</f>
        <v>0</v>
      </c>
      <c r="AM51" s="78">
        <f>SUM(AM52:AM55)</f>
        <v>303073</v>
      </c>
    </row>
    <row r="52" spans="1:39" s="23" customFormat="1" ht="21" customHeight="1">
      <c r="A52" s="64"/>
      <c r="B52" s="79"/>
      <c r="C52" s="83">
        <v>4260</v>
      </c>
      <c r="D52" s="37" t="s">
        <v>94</v>
      </c>
      <c r="E52" s="78">
        <v>500</v>
      </c>
      <c r="F52" s="78"/>
      <c r="G52" s="78">
        <f>SUM(E52:F52)</f>
        <v>500</v>
      </c>
      <c r="H52" s="78"/>
      <c r="I52" s="78">
        <f>SUM(G52:H52)</f>
        <v>500</v>
      </c>
      <c r="J52" s="78"/>
      <c r="K52" s="78">
        <f>SUM(I52:J52)</f>
        <v>500</v>
      </c>
      <c r="L52" s="78"/>
      <c r="M52" s="78">
        <f>SUM(K52:L52)</f>
        <v>500</v>
      </c>
      <c r="N52" s="78"/>
      <c r="O52" s="78">
        <f>SUM(M52:N52)</f>
        <v>500</v>
      </c>
      <c r="P52" s="78"/>
      <c r="Q52" s="78">
        <f>SUM(O52:P52)</f>
        <v>500</v>
      </c>
      <c r="R52" s="78"/>
      <c r="S52" s="78">
        <f>SUM(Q52:R52)</f>
        <v>500</v>
      </c>
      <c r="T52" s="78"/>
      <c r="U52" s="78">
        <f>SUM(S52:T52)</f>
        <v>500</v>
      </c>
      <c r="V52" s="78"/>
      <c r="W52" s="78">
        <f>SUM(U52:V52)</f>
        <v>500</v>
      </c>
      <c r="X52" s="78"/>
      <c r="Y52" s="78">
        <f>SUM(W52:X52)</f>
        <v>500</v>
      </c>
      <c r="Z52" s="78"/>
      <c r="AA52" s="78">
        <f>SUM(Y52:Z52)</f>
        <v>500</v>
      </c>
      <c r="AB52" s="78"/>
      <c r="AC52" s="78">
        <f>SUM(AA52:AB52)</f>
        <v>500</v>
      </c>
      <c r="AD52" s="78"/>
      <c r="AE52" s="78">
        <f>SUM(AC52:AD52)</f>
        <v>500</v>
      </c>
      <c r="AF52" s="78"/>
      <c r="AG52" s="78">
        <f>SUM(AE52:AF52)</f>
        <v>500</v>
      </c>
      <c r="AH52" s="78"/>
      <c r="AI52" s="78">
        <f>SUM(AG52:AH52)</f>
        <v>500</v>
      </c>
      <c r="AJ52" s="78"/>
      <c r="AK52" s="78">
        <f>SUM(AI52:AJ52)</f>
        <v>500</v>
      </c>
      <c r="AL52" s="78"/>
      <c r="AM52" s="78">
        <f>SUM(AK52:AL52)</f>
        <v>500</v>
      </c>
    </row>
    <row r="53" spans="1:39" s="23" customFormat="1" ht="21" customHeight="1">
      <c r="A53" s="64"/>
      <c r="B53" s="79"/>
      <c r="C53" s="83">
        <v>4300</v>
      </c>
      <c r="D53" s="37" t="s">
        <v>78</v>
      </c>
      <c r="E53" s="78">
        <v>85</v>
      </c>
      <c r="F53" s="78"/>
      <c r="G53" s="78">
        <f>SUM(E53:F53)</f>
        <v>85</v>
      </c>
      <c r="H53" s="78"/>
      <c r="I53" s="78">
        <f>SUM(G53:H53)</f>
        <v>85</v>
      </c>
      <c r="J53" s="78"/>
      <c r="K53" s="78">
        <f>SUM(I53:J53)</f>
        <v>85</v>
      </c>
      <c r="L53" s="78"/>
      <c r="M53" s="78">
        <f>SUM(K53:L53)</f>
        <v>85</v>
      </c>
      <c r="N53" s="78"/>
      <c r="O53" s="78">
        <f>SUM(M53:N53)</f>
        <v>85</v>
      </c>
      <c r="P53" s="78"/>
      <c r="Q53" s="78">
        <f>SUM(O53:P53)</f>
        <v>85</v>
      </c>
      <c r="R53" s="78"/>
      <c r="S53" s="78">
        <f>SUM(Q53:R53)</f>
        <v>85</v>
      </c>
      <c r="T53" s="78"/>
      <c r="U53" s="78">
        <f>SUM(S53:T53)</f>
        <v>85</v>
      </c>
      <c r="V53" s="78"/>
      <c r="W53" s="78">
        <f>SUM(U53:V53)</f>
        <v>85</v>
      </c>
      <c r="X53" s="78"/>
      <c r="Y53" s="78">
        <f>SUM(W53:X53)</f>
        <v>85</v>
      </c>
      <c r="Z53" s="78"/>
      <c r="AA53" s="78">
        <f>SUM(Y53:Z53)</f>
        <v>85</v>
      </c>
      <c r="AB53" s="78"/>
      <c r="AC53" s="78">
        <f>SUM(AA53:AB53)</f>
        <v>85</v>
      </c>
      <c r="AD53" s="78"/>
      <c r="AE53" s="78">
        <f>SUM(AC53:AD53)</f>
        <v>85</v>
      </c>
      <c r="AF53" s="78"/>
      <c r="AG53" s="78">
        <f>SUM(AE53:AF53)</f>
        <v>85</v>
      </c>
      <c r="AH53" s="78"/>
      <c r="AI53" s="78">
        <f>SUM(AG53:AH53)</f>
        <v>85</v>
      </c>
      <c r="AJ53" s="78">
        <v>-12</v>
      </c>
      <c r="AK53" s="78">
        <f>SUM(AI53:AJ53)</f>
        <v>73</v>
      </c>
      <c r="AL53" s="78"/>
      <c r="AM53" s="78">
        <f>SUM(AK53:AL53)</f>
        <v>73</v>
      </c>
    </row>
    <row r="54" spans="1:39" s="23" customFormat="1" ht="21" customHeight="1">
      <c r="A54" s="64"/>
      <c r="B54" s="79"/>
      <c r="C54" s="83">
        <v>4580</v>
      </c>
      <c r="D54" s="37" t="s">
        <v>11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>
        <v>0</v>
      </c>
      <c r="P54" s="78">
        <v>2500</v>
      </c>
      <c r="Q54" s="78">
        <f>SUM(O54:P54)</f>
        <v>2500</v>
      </c>
      <c r="R54" s="78"/>
      <c r="S54" s="78">
        <f>SUM(Q54:R54)</f>
        <v>2500</v>
      </c>
      <c r="T54" s="78"/>
      <c r="U54" s="78">
        <f>SUM(S54:T54)</f>
        <v>2500</v>
      </c>
      <c r="V54" s="78"/>
      <c r="W54" s="78">
        <f>SUM(U54:V54)</f>
        <v>2500</v>
      </c>
      <c r="X54" s="78"/>
      <c r="Y54" s="78">
        <f>SUM(W54:X54)</f>
        <v>2500</v>
      </c>
      <c r="Z54" s="78"/>
      <c r="AA54" s="78">
        <f>SUM(Y54:Z54)</f>
        <v>2500</v>
      </c>
      <c r="AB54" s="78"/>
      <c r="AC54" s="78">
        <f>SUM(AA54:AB54)</f>
        <v>2500</v>
      </c>
      <c r="AD54" s="78"/>
      <c r="AE54" s="78">
        <f>SUM(AC54:AD54)</f>
        <v>2500</v>
      </c>
      <c r="AF54" s="78"/>
      <c r="AG54" s="78">
        <f>SUM(AE54:AF54)</f>
        <v>2500</v>
      </c>
      <c r="AH54" s="78"/>
      <c r="AI54" s="78">
        <f>SUM(AG54:AH54)</f>
        <v>2500</v>
      </c>
      <c r="AJ54" s="78"/>
      <c r="AK54" s="78">
        <f>SUM(AI54:AJ54)</f>
        <v>2500</v>
      </c>
      <c r="AL54" s="78"/>
      <c r="AM54" s="78">
        <f>SUM(AK54:AL54)</f>
        <v>2500</v>
      </c>
    </row>
    <row r="55" spans="1:39" s="23" customFormat="1" ht="24">
      <c r="A55" s="64"/>
      <c r="B55" s="79"/>
      <c r="C55" s="64">
        <v>6050</v>
      </c>
      <c r="D55" s="37" t="s">
        <v>72</v>
      </c>
      <c r="E55" s="78">
        <v>500000</v>
      </c>
      <c r="F55" s="78">
        <v>-200000</v>
      </c>
      <c r="G55" s="78">
        <f>SUM(E55:F55)</f>
        <v>300000</v>
      </c>
      <c r="H55" s="78"/>
      <c r="I55" s="78">
        <f>SUM(G55:H55)</f>
        <v>300000</v>
      </c>
      <c r="J55" s="78"/>
      <c r="K55" s="78">
        <f>SUM(I55:J55)</f>
        <v>300000</v>
      </c>
      <c r="L55" s="78"/>
      <c r="M55" s="78">
        <f>SUM(K55:L55)</f>
        <v>300000</v>
      </c>
      <c r="N55" s="78"/>
      <c r="O55" s="78">
        <f>SUM(M55:N55)</f>
        <v>300000</v>
      </c>
      <c r="P55" s="78"/>
      <c r="Q55" s="78">
        <f>SUM(O55:P55)</f>
        <v>300000</v>
      </c>
      <c r="R55" s="78"/>
      <c r="S55" s="78">
        <f>SUM(Q55:R55)</f>
        <v>300000</v>
      </c>
      <c r="T55" s="78"/>
      <c r="U55" s="78">
        <f>SUM(S55:T55)</f>
        <v>300000</v>
      </c>
      <c r="V55" s="78"/>
      <c r="W55" s="78">
        <f>SUM(U55:V55)</f>
        <v>300000</v>
      </c>
      <c r="X55" s="78"/>
      <c r="Y55" s="78">
        <f>SUM(W55:X55)</f>
        <v>300000</v>
      </c>
      <c r="Z55" s="78"/>
      <c r="AA55" s="78">
        <f>SUM(Y55:Z55)</f>
        <v>300000</v>
      </c>
      <c r="AB55" s="78"/>
      <c r="AC55" s="78">
        <f>SUM(AA55:AB55)</f>
        <v>300000</v>
      </c>
      <c r="AD55" s="78"/>
      <c r="AE55" s="78">
        <f>SUM(AC55:AD55)</f>
        <v>300000</v>
      </c>
      <c r="AF55" s="78"/>
      <c r="AG55" s="78">
        <f>SUM(AE55:AF55)</f>
        <v>300000</v>
      </c>
      <c r="AH55" s="78"/>
      <c r="AI55" s="78">
        <f>SUM(AG55:AH55)</f>
        <v>300000</v>
      </c>
      <c r="AJ55" s="78"/>
      <c r="AK55" s="78">
        <f>SUM(AI55:AJ55)</f>
        <v>300000</v>
      </c>
      <c r="AL55" s="78"/>
      <c r="AM55" s="78">
        <f>SUM(AK55:AL55)</f>
        <v>300000</v>
      </c>
    </row>
    <row r="56" spans="1:39" s="5" customFormat="1" ht="21" customHeight="1">
      <c r="A56" s="32" t="s">
        <v>13</v>
      </c>
      <c r="B56" s="33"/>
      <c r="C56" s="34"/>
      <c r="D56" s="35" t="s">
        <v>79</v>
      </c>
      <c r="E56" s="36">
        <f aca="true" t="shared" si="61" ref="E56:W56">SUM(E57,E60)</f>
        <v>270200</v>
      </c>
      <c r="F56" s="36">
        <f t="shared" si="61"/>
        <v>20000</v>
      </c>
      <c r="G56" s="36">
        <f t="shared" si="61"/>
        <v>290200</v>
      </c>
      <c r="H56" s="36">
        <f t="shared" si="61"/>
        <v>0</v>
      </c>
      <c r="I56" s="36">
        <f t="shared" si="61"/>
        <v>290200</v>
      </c>
      <c r="J56" s="36">
        <f t="shared" si="61"/>
        <v>0</v>
      </c>
      <c r="K56" s="36">
        <f t="shared" si="61"/>
        <v>290200</v>
      </c>
      <c r="L56" s="36">
        <f t="shared" si="61"/>
        <v>0</v>
      </c>
      <c r="M56" s="36">
        <f t="shared" si="61"/>
        <v>290200</v>
      </c>
      <c r="N56" s="36">
        <f t="shared" si="61"/>
        <v>0</v>
      </c>
      <c r="O56" s="36">
        <f t="shared" si="61"/>
        <v>290200</v>
      </c>
      <c r="P56" s="36">
        <f t="shared" si="61"/>
        <v>0</v>
      </c>
      <c r="Q56" s="36">
        <f t="shared" si="61"/>
        <v>290200</v>
      </c>
      <c r="R56" s="36">
        <f t="shared" si="61"/>
        <v>0</v>
      </c>
      <c r="S56" s="36">
        <f t="shared" si="61"/>
        <v>290200</v>
      </c>
      <c r="T56" s="36">
        <f t="shared" si="61"/>
        <v>0</v>
      </c>
      <c r="U56" s="36">
        <f t="shared" si="61"/>
        <v>290200</v>
      </c>
      <c r="V56" s="36">
        <f t="shared" si="61"/>
        <v>0</v>
      </c>
      <c r="W56" s="36">
        <f t="shared" si="61"/>
        <v>290200</v>
      </c>
      <c r="X56" s="36">
        <f aca="true" t="shared" si="62" ref="X56:AC56">SUM(X57,X60)</f>
        <v>0</v>
      </c>
      <c r="Y56" s="36">
        <f t="shared" si="62"/>
        <v>290200</v>
      </c>
      <c r="Z56" s="36">
        <f t="shared" si="62"/>
        <v>0</v>
      </c>
      <c r="AA56" s="36">
        <f t="shared" si="62"/>
        <v>290200</v>
      </c>
      <c r="AB56" s="36">
        <f t="shared" si="62"/>
        <v>0</v>
      </c>
      <c r="AC56" s="36">
        <f t="shared" si="62"/>
        <v>290200</v>
      </c>
      <c r="AD56" s="36">
        <f aca="true" t="shared" si="63" ref="AD56:AI56">SUM(AD57,AD60)</f>
        <v>0</v>
      </c>
      <c r="AE56" s="36">
        <f t="shared" si="63"/>
        <v>290200</v>
      </c>
      <c r="AF56" s="36">
        <f t="shared" si="63"/>
        <v>0</v>
      </c>
      <c r="AG56" s="36">
        <f t="shared" si="63"/>
        <v>290200</v>
      </c>
      <c r="AH56" s="36">
        <f t="shared" si="63"/>
        <v>0</v>
      </c>
      <c r="AI56" s="36">
        <f t="shared" si="63"/>
        <v>290200</v>
      </c>
      <c r="AJ56" s="36">
        <f>SUM(AJ57,AJ60)</f>
        <v>200000</v>
      </c>
      <c r="AK56" s="36">
        <f>SUM(AK57,AK60)</f>
        <v>490200</v>
      </c>
      <c r="AL56" s="36">
        <f>SUM(AL57,AL60)</f>
        <v>0</v>
      </c>
      <c r="AM56" s="36">
        <f>SUM(AM57,AM60)</f>
        <v>490200</v>
      </c>
    </row>
    <row r="57" spans="1:39" s="23" customFormat="1" ht="21" customHeight="1">
      <c r="A57" s="64"/>
      <c r="B57" s="79" t="s">
        <v>80</v>
      </c>
      <c r="C57" s="83"/>
      <c r="D57" s="37" t="s">
        <v>81</v>
      </c>
      <c r="E57" s="78">
        <f aca="true" t="shared" si="64" ref="E57:W57">SUM(E58:E59)</f>
        <v>150000</v>
      </c>
      <c r="F57" s="78">
        <f t="shared" si="64"/>
        <v>0</v>
      </c>
      <c r="G57" s="78">
        <f t="shared" si="64"/>
        <v>150000</v>
      </c>
      <c r="H57" s="78">
        <f t="shared" si="64"/>
        <v>0</v>
      </c>
      <c r="I57" s="78">
        <f t="shared" si="64"/>
        <v>150000</v>
      </c>
      <c r="J57" s="78">
        <f t="shared" si="64"/>
        <v>0</v>
      </c>
      <c r="K57" s="78">
        <f t="shared" si="64"/>
        <v>150000</v>
      </c>
      <c r="L57" s="78">
        <f t="shared" si="64"/>
        <v>0</v>
      </c>
      <c r="M57" s="78">
        <f t="shared" si="64"/>
        <v>150000</v>
      </c>
      <c r="N57" s="78">
        <f t="shared" si="64"/>
        <v>0</v>
      </c>
      <c r="O57" s="78">
        <f t="shared" si="64"/>
        <v>150000</v>
      </c>
      <c r="P57" s="78">
        <f t="shared" si="64"/>
        <v>0</v>
      </c>
      <c r="Q57" s="78">
        <f t="shared" si="64"/>
        <v>150000</v>
      </c>
      <c r="R57" s="78">
        <f t="shared" si="64"/>
        <v>0</v>
      </c>
      <c r="S57" s="78">
        <f t="shared" si="64"/>
        <v>150000</v>
      </c>
      <c r="T57" s="78">
        <f t="shared" si="64"/>
        <v>0</v>
      </c>
      <c r="U57" s="78">
        <f t="shared" si="64"/>
        <v>150000</v>
      </c>
      <c r="V57" s="78">
        <f t="shared" si="64"/>
        <v>0</v>
      </c>
      <c r="W57" s="78">
        <f t="shared" si="64"/>
        <v>150000</v>
      </c>
      <c r="X57" s="78">
        <f aca="true" t="shared" si="65" ref="X57:AC57">SUM(X58:X59)</f>
        <v>0</v>
      </c>
      <c r="Y57" s="78">
        <f t="shared" si="65"/>
        <v>150000</v>
      </c>
      <c r="Z57" s="78">
        <f t="shared" si="65"/>
        <v>0</v>
      </c>
      <c r="AA57" s="78">
        <f t="shared" si="65"/>
        <v>150000</v>
      </c>
      <c r="AB57" s="78">
        <f t="shared" si="65"/>
        <v>0</v>
      </c>
      <c r="AC57" s="78">
        <f t="shared" si="65"/>
        <v>150000</v>
      </c>
      <c r="AD57" s="78">
        <f aca="true" t="shared" si="66" ref="AD57:AI57">SUM(AD58:AD59)</f>
        <v>0</v>
      </c>
      <c r="AE57" s="78">
        <f t="shared" si="66"/>
        <v>150000</v>
      </c>
      <c r="AF57" s="78">
        <f t="shared" si="66"/>
        <v>0</v>
      </c>
      <c r="AG57" s="78">
        <f t="shared" si="66"/>
        <v>150000</v>
      </c>
      <c r="AH57" s="78">
        <f t="shared" si="66"/>
        <v>0</v>
      </c>
      <c r="AI57" s="78">
        <f t="shared" si="66"/>
        <v>150000</v>
      </c>
      <c r="AJ57" s="78">
        <f>SUM(AJ58:AJ59)</f>
        <v>200000</v>
      </c>
      <c r="AK57" s="78">
        <f>SUM(AK58:AK59)</f>
        <v>350000</v>
      </c>
      <c r="AL57" s="78">
        <f>SUM(AL58:AL59)</f>
        <v>0</v>
      </c>
      <c r="AM57" s="78">
        <f>SUM(AM58:AM59)</f>
        <v>350000</v>
      </c>
    </row>
    <row r="58" spans="1:42" s="23" customFormat="1" ht="21" customHeight="1">
      <c r="A58" s="64"/>
      <c r="B58" s="79"/>
      <c r="C58" s="83">
        <v>4170</v>
      </c>
      <c r="D58" s="37" t="s">
        <v>189</v>
      </c>
      <c r="E58" s="78">
        <v>20000</v>
      </c>
      <c r="F58" s="78"/>
      <c r="G58" s="78">
        <f>SUM(E58:F58)</f>
        <v>20000</v>
      </c>
      <c r="H58" s="78"/>
      <c r="I58" s="78">
        <f>SUM(G58:H58)</f>
        <v>20000</v>
      </c>
      <c r="J58" s="78"/>
      <c r="K58" s="78">
        <f>SUM(I58:J58)</f>
        <v>20000</v>
      </c>
      <c r="L58" s="78"/>
      <c r="M58" s="78">
        <f>SUM(K58:L58)</f>
        <v>20000</v>
      </c>
      <c r="N58" s="78"/>
      <c r="O58" s="78">
        <f>SUM(M58:N58)</f>
        <v>20000</v>
      </c>
      <c r="P58" s="78"/>
      <c r="Q58" s="78">
        <f>SUM(O58:P58)</f>
        <v>20000</v>
      </c>
      <c r="R58" s="78"/>
      <c r="S58" s="78">
        <f>SUM(Q58:R58)</f>
        <v>20000</v>
      </c>
      <c r="T58" s="78"/>
      <c r="U58" s="78">
        <f>SUM(S58:T58)</f>
        <v>20000</v>
      </c>
      <c r="V58" s="78"/>
      <c r="W58" s="78">
        <f>SUM(U58:V58)</f>
        <v>20000</v>
      </c>
      <c r="X58" s="78"/>
      <c r="Y58" s="78">
        <f>SUM(W58:X58)</f>
        <v>20000</v>
      </c>
      <c r="Z58" s="78"/>
      <c r="AA58" s="78">
        <f>SUM(Y58:Z58)</f>
        <v>20000</v>
      </c>
      <c r="AB58" s="78"/>
      <c r="AC58" s="78">
        <f>SUM(AA58:AB58)</f>
        <v>20000</v>
      </c>
      <c r="AD58" s="78"/>
      <c r="AE58" s="78">
        <f>SUM(AC58:AD58)</f>
        <v>20000</v>
      </c>
      <c r="AF58" s="78"/>
      <c r="AG58" s="78">
        <f>SUM(AE58:AF58)</f>
        <v>20000</v>
      </c>
      <c r="AH58" s="78"/>
      <c r="AI58" s="78">
        <f>SUM(AG58:AH58)</f>
        <v>20000</v>
      </c>
      <c r="AJ58" s="78"/>
      <c r="AK58" s="78">
        <f>SUM(AI58:AJ58)</f>
        <v>20000</v>
      </c>
      <c r="AL58" s="78"/>
      <c r="AM58" s="78">
        <f>SUM(AK58:AL58)</f>
        <v>20000</v>
      </c>
      <c r="AN58" s="113"/>
      <c r="AO58" s="113"/>
      <c r="AP58" s="113"/>
    </row>
    <row r="59" spans="1:39" s="23" customFormat="1" ht="21" customHeight="1">
      <c r="A59" s="64"/>
      <c r="B59" s="79"/>
      <c r="C59" s="64">
        <v>4300</v>
      </c>
      <c r="D59" s="37" t="s">
        <v>78</v>
      </c>
      <c r="E59" s="78">
        <v>130000</v>
      </c>
      <c r="F59" s="78"/>
      <c r="G59" s="78">
        <f>SUM(E59:F59)</f>
        <v>130000</v>
      </c>
      <c r="H59" s="78"/>
      <c r="I59" s="78">
        <f>SUM(G59:H59)</f>
        <v>130000</v>
      </c>
      <c r="J59" s="78"/>
      <c r="K59" s="78">
        <f>SUM(I59:J59)</f>
        <v>130000</v>
      </c>
      <c r="L59" s="78"/>
      <c r="M59" s="78">
        <f>SUM(K59:L59)</f>
        <v>130000</v>
      </c>
      <c r="N59" s="78"/>
      <c r="O59" s="78">
        <f>SUM(M59:N59)</f>
        <v>130000</v>
      </c>
      <c r="P59" s="78"/>
      <c r="Q59" s="78">
        <f>SUM(O59:P59)</f>
        <v>130000</v>
      </c>
      <c r="R59" s="78"/>
      <c r="S59" s="78">
        <f>SUM(Q59:R59)</f>
        <v>130000</v>
      </c>
      <c r="T59" s="78"/>
      <c r="U59" s="78">
        <f>SUM(S59:T59)</f>
        <v>130000</v>
      </c>
      <c r="V59" s="78"/>
      <c r="W59" s="78">
        <f>SUM(U59:V59)</f>
        <v>130000</v>
      </c>
      <c r="X59" s="78"/>
      <c r="Y59" s="78">
        <f>SUM(W59:X59)</f>
        <v>130000</v>
      </c>
      <c r="Z59" s="78"/>
      <c r="AA59" s="78">
        <f>SUM(Y59:Z59)</f>
        <v>130000</v>
      </c>
      <c r="AB59" s="78"/>
      <c r="AC59" s="78">
        <f>SUM(AA59:AB59)</f>
        <v>130000</v>
      </c>
      <c r="AD59" s="78"/>
      <c r="AE59" s="78">
        <f>SUM(AC59:AD59)</f>
        <v>130000</v>
      </c>
      <c r="AF59" s="78"/>
      <c r="AG59" s="78">
        <f>SUM(AE59:AF59)</f>
        <v>130000</v>
      </c>
      <c r="AH59" s="78"/>
      <c r="AI59" s="78">
        <f>SUM(AG59:AH59)</f>
        <v>130000</v>
      </c>
      <c r="AJ59" s="78">
        <v>200000</v>
      </c>
      <c r="AK59" s="78">
        <f>SUM(AI59:AJ59)</f>
        <v>330000</v>
      </c>
      <c r="AL59" s="78"/>
      <c r="AM59" s="78">
        <f>SUM(AK59:AL59)</f>
        <v>330000</v>
      </c>
    </row>
    <row r="60" spans="1:39" s="23" customFormat="1" ht="21" customHeight="1">
      <c r="A60" s="64"/>
      <c r="B60" s="79">
        <v>71035</v>
      </c>
      <c r="C60" s="64"/>
      <c r="D60" s="37" t="s">
        <v>14</v>
      </c>
      <c r="E60" s="78">
        <f aca="true" t="shared" si="67" ref="E60:W60">SUM(E61:E64)</f>
        <v>120200</v>
      </c>
      <c r="F60" s="78">
        <f t="shared" si="67"/>
        <v>20000</v>
      </c>
      <c r="G60" s="78">
        <f t="shared" si="67"/>
        <v>140200</v>
      </c>
      <c r="H60" s="78">
        <f t="shared" si="67"/>
        <v>0</v>
      </c>
      <c r="I60" s="78">
        <f t="shared" si="67"/>
        <v>140200</v>
      </c>
      <c r="J60" s="78">
        <f t="shared" si="67"/>
        <v>0</v>
      </c>
      <c r="K60" s="78">
        <f t="shared" si="67"/>
        <v>140200</v>
      </c>
      <c r="L60" s="78">
        <f t="shared" si="67"/>
        <v>0</v>
      </c>
      <c r="M60" s="78">
        <f t="shared" si="67"/>
        <v>140200</v>
      </c>
      <c r="N60" s="78">
        <f t="shared" si="67"/>
        <v>0</v>
      </c>
      <c r="O60" s="78">
        <f t="shared" si="67"/>
        <v>140200</v>
      </c>
      <c r="P60" s="78">
        <f t="shared" si="67"/>
        <v>0</v>
      </c>
      <c r="Q60" s="78">
        <f t="shared" si="67"/>
        <v>140200</v>
      </c>
      <c r="R60" s="78">
        <f t="shared" si="67"/>
        <v>0</v>
      </c>
      <c r="S60" s="78">
        <f t="shared" si="67"/>
        <v>140200</v>
      </c>
      <c r="T60" s="78">
        <f t="shared" si="67"/>
        <v>0</v>
      </c>
      <c r="U60" s="78">
        <f t="shared" si="67"/>
        <v>140200</v>
      </c>
      <c r="V60" s="78">
        <f t="shared" si="67"/>
        <v>0</v>
      </c>
      <c r="W60" s="78">
        <f t="shared" si="67"/>
        <v>140200</v>
      </c>
      <c r="X60" s="78">
        <f aca="true" t="shared" si="68" ref="X60:AC60">SUM(X61:X64)</f>
        <v>0</v>
      </c>
      <c r="Y60" s="78">
        <f t="shared" si="68"/>
        <v>140200</v>
      </c>
      <c r="Z60" s="78">
        <f t="shared" si="68"/>
        <v>0</v>
      </c>
      <c r="AA60" s="78">
        <f t="shared" si="68"/>
        <v>140200</v>
      </c>
      <c r="AB60" s="78">
        <f t="shared" si="68"/>
        <v>0</v>
      </c>
      <c r="AC60" s="78">
        <f t="shared" si="68"/>
        <v>140200</v>
      </c>
      <c r="AD60" s="78">
        <f aca="true" t="shared" si="69" ref="AD60:AI60">SUM(AD61:AD64)</f>
        <v>0</v>
      </c>
      <c r="AE60" s="78">
        <f t="shared" si="69"/>
        <v>140200</v>
      </c>
      <c r="AF60" s="78">
        <f t="shared" si="69"/>
        <v>0</v>
      </c>
      <c r="AG60" s="78">
        <f t="shared" si="69"/>
        <v>140200</v>
      </c>
      <c r="AH60" s="78">
        <f t="shared" si="69"/>
        <v>0</v>
      </c>
      <c r="AI60" s="78">
        <f t="shared" si="69"/>
        <v>140200</v>
      </c>
      <c r="AJ60" s="78">
        <f>SUM(AJ61:AJ64)</f>
        <v>0</v>
      </c>
      <c r="AK60" s="78">
        <f>SUM(AK61:AK64)</f>
        <v>140200</v>
      </c>
      <c r="AL60" s="78">
        <f>SUM(AL61:AL64)</f>
        <v>0</v>
      </c>
      <c r="AM60" s="78">
        <f>SUM(AM61:AM64)</f>
        <v>140200</v>
      </c>
    </row>
    <row r="61" spans="1:39" s="23" customFormat="1" ht="21" customHeight="1">
      <c r="A61" s="64"/>
      <c r="B61" s="79"/>
      <c r="C61" s="64">
        <v>4260</v>
      </c>
      <c r="D61" s="37" t="s">
        <v>94</v>
      </c>
      <c r="E61" s="78">
        <f>1000+200</f>
        <v>1200</v>
      </c>
      <c r="F61" s="78"/>
      <c r="G61" s="78">
        <f>SUM(E61:F61)</f>
        <v>1200</v>
      </c>
      <c r="H61" s="78"/>
      <c r="I61" s="78">
        <f>SUM(G61:H61)</f>
        <v>1200</v>
      </c>
      <c r="J61" s="78"/>
      <c r="K61" s="78">
        <f>SUM(I61:J61)</f>
        <v>1200</v>
      </c>
      <c r="L61" s="78"/>
      <c r="M61" s="78">
        <f>SUM(K61:L61)</f>
        <v>1200</v>
      </c>
      <c r="N61" s="78"/>
      <c r="O61" s="78">
        <f>SUM(M61:N61)</f>
        <v>1200</v>
      </c>
      <c r="P61" s="78"/>
      <c r="Q61" s="78">
        <f>SUM(O61:P61)</f>
        <v>1200</v>
      </c>
      <c r="R61" s="78"/>
      <c r="S61" s="78">
        <f>SUM(Q61:R61)</f>
        <v>1200</v>
      </c>
      <c r="T61" s="78"/>
      <c r="U61" s="78">
        <f>SUM(S61:T61)</f>
        <v>1200</v>
      </c>
      <c r="V61" s="78"/>
      <c r="W61" s="78">
        <f>SUM(U61:V61)</f>
        <v>1200</v>
      </c>
      <c r="X61" s="78"/>
      <c r="Y61" s="78">
        <f>SUM(W61:X61)</f>
        <v>1200</v>
      </c>
      <c r="Z61" s="78"/>
      <c r="AA61" s="78">
        <f>SUM(Y61:Z61)</f>
        <v>1200</v>
      </c>
      <c r="AB61" s="78"/>
      <c r="AC61" s="78">
        <f>SUM(AA61:AB61)</f>
        <v>1200</v>
      </c>
      <c r="AD61" s="78"/>
      <c r="AE61" s="78">
        <f>SUM(AC61:AD61)</f>
        <v>1200</v>
      </c>
      <c r="AF61" s="78"/>
      <c r="AG61" s="78">
        <f>SUM(AE61:AF61)</f>
        <v>1200</v>
      </c>
      <c r="AH61" s="78"/>
      <c r="AI61" s="78">
        <f>SUM(AG61:AH61)</f>
        <v>1200</v>
      </c>
      <c r="AJ61" s="78"/>
      <c r="AK61" s="78">
        <f>SUM(AI61:AJ61)</f>
        <v>1200</v>
      </c>
      <c r="AL61" s="78"/>
      <c r="AM61" s="78">
        <f>SUM(AK61:AL61)</f>
        <v>1200</v>
      </c>
    </row>
    <row r="62" spans="1:39" s="23" customFormat="1" ht="21" customHeight="1">
      <c r="A62" s="64"/>
      <c r="B62" s="79"/>
      <c r="C62" s="64">
        <v>4270</v>
      </c>
      <c r="D62" s="37" t="s">
        <v>77</v>
      </c>
      <c r="E62" s="78">
        <v>100000</v>
      </c>
      <c r="F62" s="78"/>
      <c r="G62" s="78">
        <f>SUM(E62:F62)</f>
        <v>100000</v>
      </c>
      <c r="H62" s="78"/>
      <c r="I62" s="78">
        <f>SUM(G62:H62)</f>
        <v>100000</v>
      </c>
      <c r="J62" s="78"/>
      <c r="K62" s="78">
        <f>SUM(I62:J62)</f>
        <v>100000</v>
      </c>
      <c r="L62" s="78"/>
      <c r="M62" s="78">
        <f>SUM(K62:L62)</f>
        <v>100000</v>
      </c>
      <c r="N62" s="78"/>
      <c r="O62" s="78">
        <f>SUM(M62:N62)</f>
        <v>100000</v>
      </c>
      <c r="P62" s="78"/>
      <c r="Q62" s="78">
        <f>SUM(O62:P62)</f>
        <v>100000</v>
      </c>
      <c r="R62" s="78"/>
      <c r="S62" s="78">
        <f>SUM(Q62:R62)</f>
        <v>100000</v>
      </c>
      <c r="T62" s="78"/>
      <c r="U62" s="78">
        <f>SUM(S62:T62)</f>
        <v>100000</v>
      </c>
      <c r="V62" s="78"/>
      <c r="W62" s="78">
        <f>SUM(U62:V62)</f>
        <v>100000</v>
      </c>
      <c r="X62" s="78"/>
      <c r="Y62" s="78">
        <f>SUM(W62:X62)</f>
        <v>100000</v>
      </c>
      <c r="Z62" s="78"/>
      <c r="AA62" s="78">
        <f>SUM(Y62:Z62)</f>
        <v>100000</v>
      </c>
      <c r="AB62" s="78"/>
      <c r="AC62" s="78">
        <f>SUM(AA62:AB62)</f>
        <v>100000</v>
      </c>
      <c r="AD62" s="78"/>
      <c r="AE62" s="78">
        <f>SUM(AC62:AD62)</f>
        <v>100000</v>
      </c>
      <c r="AF62" s="78"/>
      <c r="AG62" s="78">
        <f>SUM(AE62:AF62)</f>
        <v>100000</v>
      </c>
      <c r="AH62" s="78"/>
      <c r="AI62" s="78">
        <f>SUM(AG62:AH62)</f>
        <v>100000</v>
      </c>
      <c r="AJ62" s="78"/>
      <c r="AK62" s="78">
        <f>SUM(AI62:AJ62)</f>
        <v>100000</v>
      </c>
      <c r="AL62" s="78"/>
      <c r="AM62" s="78">
        <f>SUM(AK62:AL62)</f>
        <v>100000</v>
      </c>
    </row>
    <row r="63" spans="1:39" s="23" customFormat="1" ht="21" customHeight="1">
      <c r="A63" s="64"/>
      <c r="B63" s="79"/>
      <c r="C63" s="64">
        <v>4300</v>
      </c>
      <c r="D63" s="37" t="s">
        <v>78</v>
      </c>
      <c r="E63" s="78">
        <v>19000</v>
      </c>
      <c r="F63" s="78"/>
      <c r="G63" s="78">
        <f>SUM(E63:F63)</f>
        <v>19000</v>
      </c>
      <c r="H63" s="78"/>
      <c r="I63" s="78">
        <f>SUM(G63:H63)</f>
        <v>19000</v>
      </c>
      <c r="J63" s="78"/>
      <c r="K63" s="78">
        <f>SUM(I63:J63)</f>
        <v>19000</v>
      </c>
      <c r="L63" s="78"/>
      <c r="M63" s="78">
        <f>SUM(K63:L63)</f>
        <v>19000</v>
      </c>
      <c r="N63" s="78"/>
      <c r="O63" s="78">
        <f>SUM(M63:N63)</f>
        <v>19000</v>
      </c>
      <c r="P63" s="78"/>
      <c r="Q63" s="78">
        <f>SUM(O63:P63)</f>
        <v>19000</v>
      </c>
      <c r="R63" s="78"/>
      <c r="S63" s="78">
        <f>SUM(Q63:R63)</f>
        <v>19000</v>
      </c>
      <c r="T63" s="78"/>
      <c r="U63" s="78">
        <f>SUM(S63:T63)</f>
        <v>19000</v>
      </c>
      <c r="V63" s="78"/>
      <c r="W63" s="78">
        <f>SUM(U63:V63)</f>
        <v>19000</v>
      </c>
      <c r="X63" s="78"/>
      <c r="Y63" s="78">
        <f>SUM(W63:X63)</f>
        <v>19000</v>
      </c>
      <c r="Z63" s="78"/>
      <c r="AA63" s="78">
        <f>SUM(Y63:Z63)</f>
        <v>19000</v>
      </c>
      <c r="AB63" s="78"/>
      <c r="AC63" s="78">
        <f>SUM(AA63:AB63)</f>
        <v>19000</v>
      </c>
      <c r="AD63" s="78"/>
      <c r="AE63" s="78">
        <f>SUM(AC63:AD63)</f>
        <v>19000</v>
      </c>
      <c r="AF63" s="78"/>
      <c r="AG63" s="78">
        <f>SUM(AE63:AF63)</f>
        <v>19000</v>
      </c>
      <c r="AH63" s="78"/>
      <c r="AI63" s="78">
        <f>SUM(AG63:AH63)</f>
        <v>19000</v>
      </c>
      <c r="AJ63" s="78"/>
      <c r="AK63" s="78">
        <f>SUM(AI63:AJ63)</f>
        <v>19000</v>
      </c>
      <c r="AL63" s="78"/>
      <c r="AM63" s="78">
        <f>SUM(AK63:AL63)</f>
        <v>19000</v>
      </c>
    </row>
    <row r="64" spans="1:39" s="23" customFormat="1" ht="24">
      <c r="A64" s="64"/>
      <c r="B64" s="79"/>
      <c r="C64" s="64">
        <v>6050</v>
      </c>
      <c r="D64" s="37" t="s">
        <v>72</v>
      </c>
      <c r="E64" s="78">
        <v>0</v>
      </c>
      <c r="F64" s="78">
        <v>20000</v>
      </c>
      <c r="G64" s="78">
        <f>SUM(E64:F64)</f>
        <v>20000</v>
      </c>
      <c r="H64" s="78"/>
      <c r="I64" s="78">
        <f>SUM(G64:H64)</f>
        <v>20000</v>
      </c>
      <c r="J64" s="78"/>
      <c r="K64" s="78">
        <f>SUM(I64:J64)</f>
        <v>20000</v>
      </c>
      <c r="L64" s="78"/>
      <c r="M64" s="78">
        <f>SUM(K64:L64)</f>
        <v>20000</v>
      </c>
      <c r="N64" s="78"/>
      <c r="O64" s="78">
        <f>SUM(M64:N64)</f>
        <v>20000</v>
      </c>
      <c r="P64" s="78"/>
      <c r="Q64" s="78">
        <f>SUM(O64:P64)</f>
        <v>20000</v>
      </c>
      <c r="R64" s="78"/>
      <c r="S64" s="78">
        <f>SUM(Q64:R64)</f>
        <v>20000</v>
      </c>
      <c r="T64" s="78"/>
      <c r="U64" s="78">
        <f>SUM(S64:T64)</f>
        <v>20000</v>
      </c>
      <c r="V64" s="78"/>
      <c r="W64" s="78">
        <f>SUM(U64:V64)</f>
        <v>20000</v>
      </c>
      <c r="X64" s="78"/>
      <c r="Y64" s="78">
        <f>SUM(W64:X64)</f>
        <v>20000</v>
      </c>
      <c r="Z64" s="78"/>
      <c r="AA64" s="78">
        <f>SUM(Y64:Z64)</f>
        <v>20000</v>
      </c>
      <c r="AB64" s="78"/>
      <c r="AC64" s="78">
        <f>SUM(AA64:AB64)</f>
        <v>20000</v>
      </c>
      <c r="AD64" s="78"/>
      <c r="AE64" s="78">
        <f>SUM(AC64:AD64)</f>
        <v>20000</v>
      </c>
      <c r="AF64" s="78"/>
      <c r="AG64" s="78">
        <f>SUM(AE64:AF64)</f>
        <v>20000</v>
      </c>
      <c r="AH64" s="78"/>
      <c r="AI64" s="78">
        <f>SUM(AG64:AH64)</f>
        <v>20000</v>
      </c>
      <c r="AJ64" s="78"/>
      <c r="AK64" s="78">
        <f>SUM(AI64:AJ64)</f>
        <v>20000</v>
      </c>
      <c r="AL64" s="78"/>
      <c r="AM64" s="78">
        <f>SUM(AK64:AL64)</f>
        <v>20000</v>
      </c>
    </row>
    <row r="65" spans="1:39" s="5" customFormat="1" ht="21" customHeight="1">
      <c r="A65" s="32" t="s">
        <v>15</v>
      </c>
      <c r="B65" s="33"/>
      <c r="C65" s="34"/>
      <c r="D65" s="35" t="s">
        <v>82</v>
      </c>
      <c r="E65" s="36">
        <f aca="true" t="shared" si="70" ref="E65:X65">SUM(E66,E81,E92,E126,E141,)</f>
        <v>6136665</v>
      </c>
      <c r="F65" s="36">
        <f t="shared" si="70"/>
        <v>-414000</v>
      </c>
      <c r="G65" s="36">
        <f t="shared" si="70"/>
        <v>5722665</v>
      </c>
      <c r="H65" s="36">
        <f t="shared" si="70"/>
        <v>0</v>
      </c>
      <c r="I65" s="36">
        <f t="shared" si="70"/>
        <v>5722665</v>
      </c>
      <c r="J65" s="36">
        <f t="shared" si="70"/>
        <v>0</v>
      </c>
      <c r="K65" s="36">
        <f t="shared" si="70"/>
        <v>5722665</v>
      </c>
      <c r="L65" s="36">
        <f t="shared" si="70"/>
        <v>5711</v>
      </c>
      <c r="M65" s="36">
        <f t="shared" si="70"/>
        <v>5728376</v>
      </c>
      <c r="N65" s="36">
        <f t="shared" si="70"/>
        <v>0</v>
      </c>
      <c r="O65" s="36">
        <f t="shared" si="70"/>
        <v>5728376</v>
      </c>
      <c r="P65" s="36">
        <f t="shared" si="70"/>
        <v>0</v>
      </c>
      <c r="Q65" s="36">
        <f t="shared" si="70"/>
        <v>5728376</v>
      </c>
      <c r="R65" s="36">
        <f t="shared" si="70"/>
        <v>9000</v>
      </c>
      <c r="S65" s="36">
        <f t="shared" si="70"/>
        <v>5737376</v>
      </c>
      <c r="T65" s="36">
        <f t="shared" si="70"/>
        <v>0</v>
      </c>
      <c r="U65" s="36">
        <f t="shared" si="70"/>
        <v>5737376</v>
      </c>
      <c r="V65" s="36">
        <f t="shared" si="70"/>
        <v>0</v>
      </c>
      <c r="W65" s="36">
        <f t="shared" si="70"/>
        <v>5737376</v>
      </c>
      <c r="X65" s="36">
        <f t="shared" si="70"/>
        <v>0</v>
      </c>
      <c r="Y65" s="36">
        <f aca="true" t="shared" si="71" ref="Y65:AE65">SUM(Y66,Y81,Y92,Y126,Y141,Y117)</f>
        <v>5737376</v>
      </c>
      <c r="Z65" s="36">
        <f t="shared" si="71"/>
        <v>41179</v>
      </c>
      <c r="AA65" s="36">
        <f t="shared" si="71"/>
        <v>5778555</v>
      </c>
      <c r="AB65" s="36">
        <f t="shared" si="71"/>
        <v>0</v>
      </c>
      <c r="AC65" s="36">
        <f t="shared" si="71"/>
        <v>5778555</v>
      </c>
      <c r="AD65" s="36">
        <f t="shared" si="71"/>
        <v>0</v>
      </c>
      <c r="AE65" s="36">
        <f t="shared" si="71"/>
        <v>5778555</v>
      </c>
      <c r="AF65" s="36">
        <f aca="true" t="shared" si="72" ref="AF65:AK65">SUM(AF66,AF81,AF92,AF126,AF141,AF117)</f>
        <v>2134</v>
      </c>
      <c r="AG65" s="36">
        <f t="shared" si="72"/>
        <v>5780689</v>
      </c>
      <c r="AH65" s="36">
        <f t="shared" si="72"/>
        <v>0</v>
      </c>
      <c r="AI65" s="36">
        <f t="shared" si="72"/>
        <v>5780689</v>
      </c>
      <c r="AJ65" s="36">
        <f t="shared" si="72"/>
        <v>10941</v>
      </c>
      <c r="AK65" s="36">
        <f t="shared" si="72"/>
        <v>5791630</v>
      </c>
      <c r="AL65" s="36">
        <f>SUM(AL66,AL81,AL92,AL126,AL141,AL117)</f>
        <v>0</v>
      </c>
      <c r="AM65" s="36">
        <f>SUM(AM66,AM81,AM92,AM126,AM141,AM117)</f>
        <v>5791630</v>
      </c>
    </row>
    <row r="66" spans="1:39" s="23" customFormat="1" ht="21" customHeight="1">
      <c r="A66" s="64"/>
      <c r="B66" s="79">
        <v>75011</v>
      </c>
      <c r="C66" s="83"/>
      <c r="D66" s="37" t="s">
        <v>17</v>
      </c>
      <c r="E66" s="78">
        <f aca="true" t="shared" si="73" ref="E66:W66">SUM(E67:E80)</f>
        <v>411600</v>
      </c>
      <c r="F66" s="78">
        <f t="shared" si="73"/>
        <v>0</v>
      </c>
      <c r="G66" s="78">
        <f t="shared" si="73"/>
        <v>411600</v>
      </c>
      <c r="H66" s="78">
        <f t="shared" si="73"/>
        <v>0</v>
      </c>
      <c r="I66" s="78">
        <f t="shared" si="73"/>
        <v>411600</v>
      </c>
      <c r="J66" s="78">
        <f t="shared" si="73"/>
        <v>0</v>
      </c>
      <c r="K66" s="78">
        <f t="shared" si="73"/>
        <v>411600</v>
      </c>
      <c r="L66" s="78">
        <f t="shared" si="73"/>
        <v>-10000</v>
      </c>
      <c r="M66" s="78">
        <f t="shared" si="73"/>
        <v>401600</v>
      </c>
      <c r="N66" s="78">
        <f t="shared" si="73"/>
        <v>0</v>
      </c>
      <c r="O66" s="78">
        <f t="shared" si="73"/>
        <v>401600</v>
      </c>
      <c r="P66" s="78">
        <f t="shared" si="73"/>
        <v>0</v>
      </c>
      <c r="Q66" s="78">
        <f t="shared" si="73"/>
        <v>401600</v>
      </c>
      <c r="R66" s="78">
        <f t="shared" si="73"/>
        <v>0</v>
      </c>
      <c r="S66" s="78">
        <f t="shared" si="73"/>
        <v>401600</v>
      </c>
      <c r="T66" s="78">
        <f t="shared" si="73"/>
        <v>0</v>
      </c>
      <c r="U66" s="78">
        <f t="shared" si="73"/>
        <v>401600</v>
      </c>
      <c r="V66" s="78">
        <f t="shared" si="73"/>
        <v>0</v>
      </c>
      <c r="W66" s="78">
        <f t="shared" si="73"/>
        <v>401600</v>
      </c>
      <c r="X66" s="78">
        <f aca="true" t="shared" si="74" ref="X66:AC66">SUM(X67:X80)</f>
        <v>0</v>
      </c>
      <c r="Y66" s="78">
        <f t="shared" si="74"/>
        <v>401600</v>
      </c>
      <c r="Z66" s="78">
        <f t="shared" si="74"/>
        <v>0</v>
      </c>
      <c r="AA66" s="78">
        <f t="shared" si="74"/>
        <v>401600</v>
      </c>
      <c r="AB66" s="78">
        <f t="shared" si="74"/>
        <v>0</v>
      </c>
      <c r="AC66" s="78">
        <f t="shared" si="74"/>
        <v>401600</v>
      </c>
      <c r="AD66" s="78">
        <f aca="true" t="shared" si="75" ref="AD66:AI66">SUM(AD67:AD80)</f>
        <v>0</v>
      </c>
      <c r="AE66" s="78">
        <f t="shared" si="75"/>
        <v>401600</v>
      </c>
      <c r="AF66" s="78">
        <f t="shared" si="75"/>
        <v>0</v>
      </c>
      <c r="AG66" s="78">
        <f t="shared" si="75"/>
        <v>401600</v>
      </c>
      <c r="AH66" s="78">
        <f t="shared" si="75"/>
        <v>0</v>
      </c>
      <c r="AI66" s="78">
        <f t="shared" si="75"/>
        <v>401600</v>
      </c>
      <c r="AJ66" s="78">
        <f>SUM(AJ67:AJ80)</f>
        <v>0</v>
      </c>
      <c r="AK66" s="78">
        <f>SUM(AK67:AK80)</f>
        <v>401600</v>
      </c>
      <c r="AL66" s="78">
        <f>SUM(AL67:AL80)</f>
        <v>0</v>
      </c>
      <c r="AM66" s="78">
        <f>SUM(AM67:AM80)</f>
        <v>401600</v>
      </c>
    </row>
    <row r="67" spans="1:39" s="23" customFormat="1" ht="24">
      <c r="A67" s="64"/>
      <c r="B67" s="79"/>
      <c r="C67" s="83">
        <v>3020</v>
      </c>
      <c r="D67" s="37" t="s">
        <v>187</v>
      </c>
      <c r="E67" s="78">
        <v>2000</v>
      </c>
      <c r="F67" s="78"/>
      <c r="G67" s="78">
        <f>SUM(E67:F67)</f>
        <v>2000</v>
      </c>
      <c r="H67" s="78"/>
      <c r="I67" s="78">
        <f>SUM(G67:H67)</f>
        <v>2000</v>
      </c>
      <c r="J67" s="78"/>
      <c r="K67" s="78">
        <f>SUM(I67:J67)</f>
        <v>2000</v>
      </c>
      <c r="L67" s="78"/>
      <c r="M67" s="78">
        <f>SUM(K67:L67)</f>
        <v>2000</v>
      </c>
      <c r="N67" s="78"/>
      <c r="O67" s="78">
        <f>SUM(M67:N67)</f>
        <v>2000</v>
      </c>
      <c r="P67" s="78"/>
      <c r="Q67" s="78">
        <f>SUM(O67:P67)</f>
        <v>2000</v>
      </c>
      <c r="R67" s="78"/>
      <c r="S67" s="78">
        <f>SUM(Q67:R67)</f>
        <v>2000</v>
      </c>
      <c r="T67" s="78"/>
      <c r="U67" s="78">
        <f>SUM(S67:T67)</f>
        <v>2000</v>
      </c>
      <c r="V67" s="78"/>
      <c r="W67" s="78">
        <f>SUM(U67:V67)</f>
        <v>2000</v>
      </c>
      <c r="X67" s="78"/>
      <c r="Y67" s="78">
        <f>SUM(W67:X67)</f>
        <v>2000</v>
      </c>
      <c r="Z67" s="78"/>
      <c r="AA67" s="78">
        <f>SUM(Y67:Z67)</f>
        <v>2000</v>
      </c>
      <c r="AB67" s="78"/>
      <c r="AC67" s="78">
        <f>SUM(AA67:AB67)</f>
        <v>2000</v>
      </c>
      <c r="AD67" s="78"/>
      <c r="AE67" s="78">
        <f>SUM(AC67:AD67)</f>
        <v>2000</v>
      </c>
      <c r="AF67" s="78"/>
      <c r="AG67" s="78">
        <f>SUM(AE67:AF67)</f>
        <v>2000</v>
      </c>
      <c r="AH67" s="78"/>
      <c r="AI67" s="78">
        <f>SUM(AG67:AH67)</f>
        <v>2000</v>
      </c>
      <c r="AJ67" s="78"/>
      <c r="AK67" s="78">
        <f>SUM(AI67:AJ67)</f>
        <v>2000</v>
      </c>
      <c r="AL67" s="78"/>
      <c r="AM67" s="78">
        <f>SUM(AK67:AL67)</f>
        <v>2000</v>
      </c>
    </row>
    <row r="68" spans="1:42" s="23" customFormat="1" ht="21" customHeight="1">
      <c r="A68" s="64"/>
      <c r="B68" s="84"/>
      <c r="C68" s="64">
        <v>4010</v>
      </c>
      <c r="D68" s="37" t="s">
        <v>83</v>
      </c>
      <c r="E68" s="78">
        <v>294200</v>
      </c>
      <c r="F68" s="78"/>
      <c r="G68" s="78">
        <f aca="true" t="shared" si="76" ref="G68:G80">SUM(E68:F68)</f>
        <v>294200</v>
      </c>
      <c r="H68" s="78"/>
      <c r="I68" s="78">
        <f aca="true" t="shared" si="77" ref="I68:I80">SUM(G68:H68)</f>
        <v>294200</v>
      </c>
      <c r="J68" s="78"/>
      <c r="K68" s="78">
        <f aca="true" t="shared" si="78" ref="K68:K80">SUM(I68:J68)</f>
        <v>294200</v>
      </c>
      <c r="L68" s="78">
        <f>1657-10000</f>
        <v>-8343</v>
      </c>
      <c r="M68" s="78">
        <f aca="true" t="shared" si="79" ref="M68:M80">SUM(K68:L68)</f>
        <v>285857</v>
      </c>
      <c r="N68" s="78"/>
      <c r="O68" s="78">
        <f aca="true" t="shared" si="80" ref="O68:O80">SUM(M68:N68)</f>
        <v>285857</v>
      </c>
      <c r="P68" s="78"/>
      <c r="Q68" s="78">
        <f aca="true" t="shared" si="81" ref="Q68:Q80">SUM(O68:P68)</f>
        <v>285857</v>
      </c>
      <c r="R68" s="78"/>
      <c r="S68" s="78">
        <f aca="true" t="shared" si="82" ref="S68:S80">SUM(Q68:R68)</f>
        <v>285857</v>
      </c>
      <c r="T68" s="78"/>
      <c r="U68" s="78">
        <f aca="true" t="shared" si="83" ref="U68:U80">SUM(S68:T68)</f>
        <v>285857</v>
      </c>
      <c r="V68" s="78"/>
      <c r="W68" s="78">
        <f aca="true" t="shared" si="84" ref="W68:W80">SUM(U68:V68)</f>
        <v>285857</v>
      </c>
      <c r="X68" s="78"/>
      <c r="Y68" s="78">
        <f aca="true" t="shared" si="85" ref="Y68:Y80">SUM(W68:X68)</f>
        <v>285857</v>
      </c>
      <c r="Z68" s="78"/>
      <c r="AA68" s="78">
        <f aca="true" t="shared" si="86" ref="AA68:AA80">SUM(Y68:Z68)</f>
        <v>285857</v>
      </c>
      <c r="AB68" s="78"/>
      <c r="AC68" s="78">
        <f aca="true" t="shared" si="87" ref="AC68:AC80">SUM(AA68:AB68)</f>
        <v>285857</v>
      </c>
      <c r="AD68" s="78"/>
      <c r="AE68" s="78">
        <f aca="true" t="shared" si="88" ref="AE68:AE80">SUM(AC68:AD68)</f>
        <v>285857</v>
      </c>
      <c r="AF68" s="78"/>
      <c r="AG68" s="78">
        <f aca="true" t="shared" si="89" ref="AG68:AG80">SUM(AE68:AF68)</f>
        <v>285857</v>
      </c>
      <c r="AH68" s="78"/>
      <c r="AI68" s="78">
        <f aca="true" t="shared" si="90" ref="AI68:AI80">SUM(AG68:AH68)</f>
        <v>285857</v>
      </c>
      <c r="AJ68" s="78"/>
      <c r="AK68" s="78">
        <f aca="true" t="shared" si="91" ref="AK68:AK80">SUM(AI68:AJ68)</f>
        <v>285857</v>
      </c>
      <c r="AL68" s="78"/>
      <c r="AM68" s="78">
        <f aca="true" t="shared" si="92" ref="AM68:AM80">SUM(AK68:AL68)</f>
        <v>285857</v>
      </c>
      <c r="AN68" s="113"/>
      <c r="AO68" s="113"/>
      <c r="AP68" s="113"/>
    </row>
    <row r="69" spans="1:42" s="23" customFormat="1" ht="21" customHeight="1">
      <c r="A69" s="64"/>
      <c r="B69" s="84"/>
      <c r="C69" s="64">
        <v>4040</v>
      </c>
      <c r="D69" s="37" t="s">
        <v>84</v>
      </c>
      <c r="E69" s="78">
        <v>22400</v>
      </c>
      <c r="F69" s="78"/>
      <c r="G69" s="78">
        <f t="shared" si="76"/>
        <v>22400</v>
      </c>
      <c r="H69" s="78"/>
      <c r="I69" s="78">
        <f t="shared" si="77"/>
        <v>22400</v>
      </c>
      <c r="J69" s="78"/>
      <c r="K69" s="78">
        <f t="shared" si="78"/>
        <v>22400</v>
      </c>
      <c r="L69" s="78">
        <v>-2312</v>
      </c>
      <c r="M69" s="78">
        <f t="shared" si="79"/>
        <v>20088</v>
      </c>
      <c r="N69" s="78"/>
      <c r="O69" s="78">
        <f t="shared" si="80"/>
        <v>20088</v>
      </c>
      <c r="P69" s="78"/>
      <c r="Q69" s="78">
        <f t="shared" si="81"/>
        <v>20088</v>
      </c>
      <c r="R69" s="78"/>
      <c r="S69" s="78">
        <f t="shared" si="82"/>
        <v>20088</v>
      </c>
      <c r="T69" s="78"/>
      <c r="U69" s="78">
        <f t="shared" si="83"/>
        <v>20088</v>
      </c>
      <c r="V69" s="78"/>
      <c r="W69" s="78">
        <f t="shared" si="84"/>
        <v>20088</v>
      </c>
      <c r="X69" s="78"/>
      <c r="Y69" s="78">
        <f t="shared" si="85"/>
        <v>20088</v>
      </c>
      <c r="Z69" s="78"/>
      <c r="AA69" s="78">
        <f t="shared" si="86"/>
        <v>20088</v>
      </c>
      <c r="AB69" s="78"/>
      <c r="AC69" s="78">
        <f t="shared" si="87"/>
        <v>20088</v>
      </c>
      <c r="AD69" s="78"/>
      <c r="AE69" s="78">
        <f t="shared" si="88"/>
        <v>20088</v>
      </c>
      <c r="AF69" s="78"/>
      <c r="AG69" s="78">
        <f t="shared" si="89"/>
        <v>20088</v>
      </c>
      <c r="AH69" s="78"/>
      <c r="AI69" s="78">
        <f t="shared" si="90"/>
        <v>20088</v>
      </c>
      <c r="AJ69" s="78"/>
      <c r="AK69" s="78">
        <f t="shared" si="91"/>
        <v>20088</v>
      </c>
      <c r="AL69" s="78"/>
      <c r="AM69" s="78">
        <f t="shared" si="92"/>
        <v>20088</v>
      </c>
      <c r="AN69" s="113"/>
      <c r="AO69" s="113"/>
      <c r="AP69" s="113"/>
    </row>
    <row r="70" spans="1:42" s="23" customFormat="1" ht="21" customHeight="1">
      <c r="A70" s="64"/>
      <c r="B70" s="84"/>
      <c r="C70" s="64">
        <v>4110</v>
      </c>
      <c r="D70" s="37" t="s">
        <v>85</v>
      </c>
      <c r="E70" s="78">
        <v>48100</v>
      </c>
      <c r="F70" s="78"/>
      <c r="G70" s="78">
        <f t="shared" si="76"/>
        <v>48100</v>
      </c>
      <c r="H70" s="78"/>
      <c r="I70" s="78">
        <f t="shared" si="77"/>
        <v>48100</v>
      </c>
      <c r="J70" s="78"/>
      <c r="K70" s="78">
        <f t="shared" si="78"/>
        <v>48100</v>
      </c>
      <c r="L70" s="78"/>
      <c r="M70" s="78">
        <f t="shared" si="79"/>
        <v>48100</v>
      </c>
      <c r="N70" s="78"/>
      <c r="O70" s="78">
        <f t="shared" si="80"/>
        <v>48100</v>
      </c>
      <c r="P70" s="78"/>
      <c r="Q70" s="78">
        <f t="shared" si="81"/>
        <v>48100</v>
      </c>
      <c r="R70" s="78"/>
      <c r="S70" s="78">
        <f t="shared" si="82"/>
        <v>48100</v>
      </c>
      <c r="T70" s="78"/>
      <c r="U70" s="78">
        <f t="shared" si="83"/>
        <v>48100</v>
      </c>
      <c r="V70" s="78"/>
      <c r="W70" s="78">
        <f t="shared" si="84"/>
        <v>48100</v>
      </c>
      <c r="X70" s="78"/>
      <c r="Y70" s="78">
        <f t="shared" si="85"/>
        <v>48100</v>
      </c>
      <c r="Z70" s="78"/>
      <c r="AA70" s="78">
        <f t="shared" si="86"/>
        <v>48100</v>
      </c>
      <c r="AB70" s="78"/>
      <c r="AC70" s="78">
        <f t="shared" si="87"/>
        <v>48100</v>
      </c>
      <c r="AD70" s="78"/>
      <c r="AE70" s="78">
        <f t="shared" si="88"/>
        <v>48100</v>
      </c>
      <c r="AF70" s="78"/>
      <c r="AG70" s="78">
        <f t="shared" si="89"/>
        <v>48100</v>
      </c>
      <c r="AH70" s="78"/>
      <c r="AI70" s="78">
        <f t="shared" si="90"/>
        <v>48100</v>
      </c>
      <c r="AJ70" s="78"/>
      <c r="AK70" s="78">
        <f t="shared" si="91"/>
        <v>48100</v>
      </c>
      <c r="AL70" s="78"/>
      <c r="AM70" s="78">
        <f t="shared" si="92"/>
        <v>48100</v>
      </c>
      <c r="AN70" s="113"/>
      <c r="AO70" s="113"/>
      <c r="AP70" s="113"/>
    </row>
    <row r="71" spans="1:42" s="23" customFormat="1" ht="21" customHeight="1">
      <c r="A71" s="64"/>
      <c r="B71" s="84"/>
      <c r="C71" s="64">
        <v>4120</v>
      </c>
      <c r="D71" s="37" t="s">
        <v>86</v>
      </c>
      <c r="E71" s="78">
        <v>7800</v>
      </c>
      <c r="F71" s="78"/>
      <c r="G71" s="78">
        <f t="shared" si="76"/>
        <v>7800</v>
      </c>
      <c r="H71" s="78"/>
      <c r="I71" s="78">
        <f t="shared" si="77"/>
        <v>7800</v>
      </c>
      <c r="J71" s="78"/>
      <c r="K71" s="78">
        <f t="shared" si="78"/>
        <v>7800</v>
      </c>
      <c r="L71" s="78"/>
      <c r="M71" s="78">
        <f t="shared" si="79"/>
        <v>7800</v>
      </c>
      <c r="N71" s="78"/>
      <c r="O71" s="78">
        <f t="shared" si="80"/>
        <v>7800</v>
      </c>
      <c r="P71" s="78"/>
      <c r="Q71" s="78">
        <f t="shared" si="81"/>
        <v>7800</v>
      </c>
      <c r="R71" s="78"/>
      <c r="S71" s="78">
        <f t="shared" si="82"/>
        <v>7800</v>
      </c>
      <c r="T71" s="78"/>
      <c r="U71" s="78">
        <f t="shared" si="83"/>
        <v>7800</v>
      </c>
      <c r="V71" s="78"/>
      <c r="W71" s="78">
        <f t="shared" si="84"/>
        <v>7800</v>
      </c>
      <c r="X71" s="78"/>
      <c r="Y71" s="78">
        <f t="shared" si="85"/>
        <v>7800</v>
      </c>
      <c r="Z71" s="78"/>
      <c r="AA71" s="78">
        <f t="shared" si="86"/>
        <v>7800</v>
      </c>
      <c r="AB71" s="78"/>
      <c r="AC71" s="78">
        <f t="shared" si="87"/>
        <v>7800</v>
      </c>
      <c r="AD71" s="78"/>
      <c r="AE71" s="78">
        <f t="shared" si="88"/>
        <v>7800</v>
      </c>
      <c r="AF71" s="78"/>
      <c r="AG71" s="78">
        <f t="shared" si="89"/>
        <v>7800</v>
      </c>
      <c r="AH71" s="78"/>
      <c r="AI71" s="78">
        <f t="shared" si="90"/>
        <v>7800</v>
      </c>
      <c r="AJ71" s="78"/>
      <c r="AK71" s="78">
        <f t="shared" si="91"/>
        <v>7800</v>
      </c>
      <c r="AL71" s="78"/>
      <c r="AM71" s="78">
        <f t="shared" si="92"/>
        <v>7800</v>
      </c>
      <c r="AN71" s="113"/>
      <c r="AO71" s="113"/>
      <c r="AP71" s="113"/>
    </row>
    <row r="72" spans="1:39" s="23" customFormat="1" ht="21" customHeight="1">
      <c r="A72" s="64"/>
      <c r="B72" s="84"/>
      <c r="C72" s="64">
        <v>4210</v>
      </c>
      <c r="D72" s="37" t="s">
        <v>91</v>
      </c>
      <c r="E72" s="78">
        <v>11000</v>
      </c>
      <c r="F72" s="78"/>
      <c r="G72" s="78">
        <f t="shared" si="76"/>
        <v>11000</v>
      </c>
      <c r="H72" s="78"/>
      <c r="I72" s="78">
        <f t="shared" si="77"/>
        <v>11000</v>
      </c>
      <c r="J72" s="78"/>
      <c r="K72" s="78">
        <f t="shared" si="78"/>
        <v>11000</v>
      </c>
      <c r="L72" s="78"/>
      <c r="M72" s="78">
        <f t="shared" si="79"/>
        <v>11000</v>
      </c>
      <c r="N72" s="78"/>
      <c r="O72" s="78">
        <f t="shared" si="80"/>
        <v>11000</v>
      </c>
      <c r="P72" s="78"/>
      <c r="Q72" s="78">
        <f t="shared" si="81"/>
        <v>11000</v>
      </c>
      <c r="R72" s="78"/>
      <c r="S72" s="78">
        <f t="shared" si="82"/>
        <v>11000</v>
      </c>
      <c r="T72" s="78"/>
      <c r="U72" s="78">
        <f t="shared" si="83"/>
        <v>11000</v>
      </c>
      <c r="V72" s="78"/>
      <c r="W72" s="78">
        <f t="shared" si="84"/>
        <v>11000</v>
      </c>
      <c r="X72" s="78"/>
      <c r="Y72" s="78">
        <f t="shared" si="85"/>
        <v>11000</v>
      </c>
      <c r="Z72" s="78"/>
      <c r="AA72" s="78">
        <f t="shared" si="86"/>
        <v>11000</v>
      </c>
      <c r="AB72" s="78"/>
      <c r="AC72" s="78">
        <f t="shared" si="87"/>
        <v>11000</v>
      </c>
      <c r="AD72" s="78"/>
      <c r="AE72" s="78">
        <f t="shared" si="88"/>
        <v>11000</v>
      </c>
      <c r="AF72" s="78"/>
      <c r="AG72" s="78">
        <f t="shared" si="89"/>
        <v>11000</v>
      </c>
      <c r="AH72" s="78"/>
      <c r="AI72" s="78">
        <f t="shared" si="90"/>
        <v>11000</v>
      </c>
      <c r="AJ72" s="78"/>
      <c r="AK72" s="78">
        <f t="shared" si="91"/>
        <v>11000</v>
      </c>
      <c r="AL72" s="78"/>
      <c r="AM72" s="78">
        <f t="shared" si="92"/>
        <v>11000</v>
      </c>
    </row>
    <row r="73" spans="1:39" s="23" customFormat="1" ht="21" customHeight="1">
      <c r="A73" s="64"/>
      <c r="B73" s="84"/>
      <c r="C73" s="64">
        <v>4280</v>
      </c>
      <c r="D73" s="37" t="s">
        <v>216</v>
      </c>
      <c r="E73" s="78">
        <v>1000</v>
      </c>
      <c r="F73" s="78"/>
      <c r="G73" s="78">
        <f t="shared" si="76"/>
        <v>1000</v>
      </c>
      <c r="H73" s="78"/>
      <c r="I73" s="78">
        <f t="shared" si="77"/>
        <v>1000</v>
      </c>
      <c r="J73" s="78"/>
      <c r="K73" s="78">
        <f t="shared" si="78"/>
        <v>1000</v>
      </c>
      <c r="L73" s="78"/>
      <c r="M73" s="78">
        <f t="shared" si="79"/>
        <v>1000</v>
      </c>
      <c r="N73" s="78"/>
      <c r="O73" s="78">
        <f t="shared" si="80"/>
        <v>1000</v>
      </c>
      <c r="P73" s="78"/>
      <c r="Q73" s="78">
        <f t="shared" si="81"/>
        <v>1000</v>
      </c>
      <c r="R73" s="78"/>
      <c r="S73" s="78">
        <f t="shared" si="82"/>
        <v>1000</v>
      </c>
      <c r="T73" s="78"/>
      <c r="U73" s="78">
        <f t="shared" si="83"/>
        <v>1000</v>
      </c>
      <c r="V73" s="78"/>
      <c r="W73" s="78">
        <f t="shared" si="84"/>
        <v>1000</v>
      </c>
      <c r="X73" s="78"/>
      <c r="Y73" s="78">
        <f t="shared" si="85"/>
        <v>1000</v>
      </c>
      <c r="Z73" s="78"/>
      <c r="AA73" s="78">
        <f t="shared" si="86"/>
        <v>1000</v>
      </c>
      <c r="AB73" s="78"/>
      <c r="AC73" s="78">
        <f t="shared" si="87"/>
        <v>1000</v>
      </c>
      <c r="AD73" s="78"/>
      <c r="AE73" s="78">
        <f t="shared" si="88"/>
        <v>1000</v>
      </c>
      <c r="AF73" s="78"/>
      <c r="AG73" s="78">
        <f t="shared" si="89"/>
        <v>1000</v>
      </c>
      <c r="AH73" s="78"/>
      <c r="AI73" s="78">
        <f t="shared" si="90"/>
        <v>1000</v>
      </c>
      <c r="AJ73" s="78"/>
      <c r="AK73" s="78">
        <f t="shared" si="91"/>
        <v>1000</v>
      </c>
      <c r="AL73" s="78"/>
      <c r="AM73" s="78">
        <f t="shared" si="92"/>
        <v>1000</v>
      </c>
    </row>
    <row r="74" spans="1:39" s="23" customFormat="1" ht="21" customHeight="1">
      <c r="A74" s="64"/>
      <c r="B74" s="84"/>
      <c r="C74" s="64">
        <v>4300</v>
      </c>
      <c r="D74" s="37" t="s">
        <v>78</v>
      </c>
      <c r="E74" s="78">
        <v>6800</v>
      </c>
      <c r="F74" s="78"/>
      <c r="G74" s="78">
        <f t="shared" si="76"/>
        <v>6800</v>
      </c>
      <c r="H74" s="78"/>
      <c r="I74" s="78">
        <f t="shared" si="77"/>
        <v>6800</v>
      </c>
      <c r="J74" s="78"/>
      <c r="K74" s="78">
        <f t="shared" si="78"/>
        <v>6800</v>
      </c>
      <c r="L74" s="78"/>
      <c r="M74" s="78">
        <f t="shared" si="79"/>
        <v>6800</v>
      </c>
      <c r="N74" s="78"/>
      <c r="O74" s="78">
        <f t="shared" si="80"/>
        <v>6800</v>
      </c>
      <c r="P74" s="78"/>
      <c r="Q74" s="78">
        <f t="shared" si="81"/>
        <v>6800</v>
      </c>
      <c r="R74" s="78"/>
      <c r="S74" s="78">
        <f t="shared" si="82"/>
        <v>6800</v>
      </c>
      <c r="T74" s="78"/>
      <c r="U74" s="78">
        <f t="shared" si="83"/>
        <v>6800</v>
      </c>
      <c r="V74" s="78"/>
      <c r="W74" s="78">
        <f t="shared" si="84"/>
        <v>6800</v>
      </c>
      <c r="X74" s="78"/>
      <c r="Y74" s="78">
        <f t="shared" si="85"/>
        <v>6800</v>
      </c>
      <c r="Z74" s="78"/>
      <c r="AA74" s="78">
        <f t="shared" si="86"/>
        <v>6800</v>
      </c>
      <c r="AB74" s="78"/>
      <c r="AC74" s="78">
        <f t="shared" si="87"/>
        <v>6800</v>
      </c>
      <c r="AD74" s="78"/>
      <c r="AE74" s="78">
        <f t="shared" si="88"/>
        <v>6800</v>
      </c>
      <c r="AF74" s="78"/>
      <c r="AG74" s="78">
        <f t="shared" si="89"/>
        <v>6800</v>
      </c>
      <c r="AH74" s="78"/>
      <c r="AI74" s="78">
        <f t="shared" si="90"/>
        <v>6800</v>
      </c>
      <c r="AJ74" s="78"/>
      <c r="AK74" s="78">
        <f t="shared" si="91"/>
        <v>6800</v>
      </c>
      <c r="AL74" s="78"/>
      <c r="AM74" s="78">
        <f t="shared" si="92"/>
        <v>6800</v>
      </c>
    </row>
    <row r="75" spans="1:39" s="23" customFormat="1" ht="21" customHeight="1">
      <c r="A75" s="64"/>
      <c r="B75" s="84"/>
      <c r="C75" s="64">
        <v>4410</v>
      </c>
      <c r="D75" s="37" t="s">
        <v>89</v>
      </c>
      <c r="E75" s="78">
        <v>1000</v>
      </c>
      <c r="F75" s="78"/>
      <c r="G75" s="78">
        <f t="shared" si="76"/>
        <v>1000</v>
      </c>
      <c r="H75" s="78"/>
      <c r="I75" s="78">
        <f t="shared" si="77"/>
        <v>1000</v>
      </c>
      <c r="J75" s="78"/>
      <c r="K75" s="78">
        <f t="shared" si="78"/>
        <v>1000</v>
      </c>
      <c r="L75" s="78"/>
      <c r="M75" s="78">
        <f t="shared" si="79"/>
        <v>1000</v>
      </c>
      <c r="N75" s="78"/>
      <c r="O75" s="78">
        <f t="shared" si="80"/>
        <v>1000</v>
      </c>
      <c r="P75" s="78"/>
      <c r="Q75" s="78">
        <f t="shared" si="81"/>
        <v>1000</v>
      </c>
      <c r="R75" s="78"/>
      <c r="S75" s="78">
        <f t="shared" si="82"/>
        <v>1000</v>
      </c>
      <c r="T75" s="78"/>
      <c r="U75" s="78">
        <f t="shared" si="83"/>
        <v>1000</v>
      </c>
      <c r="V75" s="78"/>
      <c r="W75" s="78">
        <f t="shared" si="84"/>
        <v>1000</v>
      </c>
      <c r="X75" s="78"/>
      <c r="Y75" s="78">
        <f t="shared" si="85"/>
        <v>1000</v>
      </c>
      <c r="Z75" s="78"/>
      <c r="AA75" s="78">
        <f t="shared" si="86"/>
        <v>1000</v>
      </c>
      <c r="AB75" s="78"/>
      <c r="AC75" s="78">
        <f t="shared" si="87"/>
        <v>1000</v>
      </c>
      <c r="AD75" s="78"/>
      <c r="AE75" s="78">
        <f t="shared" si="88"/>
        <v>1000</v>
      </c>
      <c r="AF75" s="78"/>
      <c r="AG75" s="78">
        <f t="shared" si="89"/>
        <v>1000</v>
      </c>
      <c r="AH75" s="78"/>
      <c r="AI75" s="78">
        <f t="shared" si="90"/>
        <v>1000</v>
      </c>
      <c r="AJ75" s="78"/>
      <c r="AK75" s="78">
        <f t="shared" si="91"/>
        <v>1000</v>
      </c>
      <c r="AL75" s="78"/>
      <c r="AM75" s="78">
        <f t="shared" si="92"/>
        <v>1000</v>
      </c>
    </row>
    <row r="76" spans="1:39" s="23" customFormat="1" ht="21" customHeight="1">
      <c r="A76" s="64"/>
      <c r="B76" s="84"/>
      <c r="C76" s="64">
        <v>4430</v>
      </c>
      <c r="D76" s="37" t="s">
        <v>93</v>
      </c>
      <c r="E76" s="78">
        <v>3000</v>
      </c>
      <c r="F76" s="78"/>
      <c r="G76" s="78">
        <f t="shared" si="76"/>
        <v>3000</v>
      </c>
      <c r="H76" s="78"/>
      <c r="I76" s="78">
        <f t="shared" si="77"/>
        <v>3000</v>
      </c>
      <c r="J76" s="78"/>
      <c r="K76" s="78">
        <f t="shared" si="78"/>
        <v>3000</v>
      </c>
      <c r="L76" s="78"/>
      <c r="M76" s="78">
        <f t="shared" si="79"/>
        <v>3000</v>
      </c>
      <c r="N76" s="78"/>
      <c r="O76" s="78">
        <f t="shared" si="80"/>
        <v>3000</v>
      </c>
      <c r="P76" s="78"/>
      <c r="Q76" s="78">
        <f t="shared" si="81"/>
        <v>3000</v>
      </c>
      <c r="R76" s="78"/>
      <c r="S76" s="78">
        <f t="shared" si="82"/>
        <v>3000</v>
      </c>
      <c r="T76" s="78"/>
      <c r="U76" s="78">
        <f t="shared" si="83"/>
        <v>3000</v>
      </c>
      <c r="V76" s="78"/>
      <c r="W76" s="78">
        <f t="shared" si="84"/>
        <v>3000</v>
      </c>
      <c r="X76" s="78"/>
      <c r="Y76" s="78">
        <f t="shared" si="85"/>
        <v>3000</v>
      </c>
      <c r="Z76" s="78"/>
      <c r="AA76" s="78">
        <f t="shared" si="86"/>
        <v>3000</v>
      </c>
      <c r="AB76" s="78"/>
      <c r="AC76" s="78">
        <f t="shared" si="87"/>
        <v>3000</v>
      </c>
      <c r="AD76" s="78"/>
      <c r="AE76" s="78">
        <f t="shared" si="88"/>
        <v>3000</v>
      </c>
      <c r="AF76" s="78"/>
      <c r="AG76" s="78">
        <f t="shared" si="89"/>
        <v>3000</v>
      </c>
      <c r="AH76" s="78"/>
      <c r="AI76" s="78">
        <f t="shared" si="90"/>
        <v>3000</v>
      </c>
      <c r="AJ76" s="78"/>
      <c r="AK76" s="78">
        <f t="shared" si="91"/>
        <v>3000</v>
      </c>
      <c r="AL76" s="78"/>
      <c r="AM76" s="78">
        <f t="shared" si="92"/>
        <v>3000</v>
      </c>
    </row>
    <row r="77" spans="1:39" s="23" customFormat="1" ht="24">
      <c r="A77" s="64"/>
      <c r="B77" s="84"/>
      <c r="C77" s="67">
        <v>4440</v>
      </c>
      <c r="D77" s="37" t="s">
        <v>87</v>
      </c>
      <c r="E77" s="78">
        <v>9300</v>
      </c>
      <c r="F77" s="78"/>
      <c r="G77" s="78">
        <f t="shared" si="76"/>
        <v>9300</v>
      </c>
      <c r="H77" s="78"/>
      <c r="I77" s="78">
        <f t="shared" si="77"/>
        <v>9300</v>
      </c>
      <c r="J77" s="78"/>
      <c r="K77" s="78">
        <f t="shared" si="78"/>
        <v>9300</v>
      </c>
      <c r="L77" s="78">
        <v>655</v>
      </c>
      <c r="M77" s="78">
        <f t="shared" si="79"/>
        <v>9955</v>
      </c>
      <c r="N77" s="78"/>
      <c r="O77" s="78">
        <f t="shared" si="80"/>
        <v>9955</v>
      </c>
      <c r="P77" s="78"/>
      <c r="Q77" s="78">
        <f t="shared" si="81"/>
        <v>9955</v>
      </c>
      <c r="R77" s="78"/>
      <c r="S77" s="78">
        <f t="shared" si="82"/>
        <v>9955</v>
      </c>
      <c r="T77" s="78"/>
      <c r="U77" s="78">
        <f t="shared" si="83"/>
        <v>9955</v>
      </c>
      <c r="V77" s="78"/>
      <c r="W77" s="78">
        <f t="shared" si="84"/>
        <v>9955</v>
      </c>
      <c r="X77" s="78"/>
      <c r="Y77" s="78">
        <f t="shared" si="85"/>
        <v>9955</v>
      </c>
      <c r="Z77" s="78"/>
      <c r="AA77" s="78">
        <f t="shared" si="86"/>
        <v>9955</v>
      </c>
      <c r="AB77" s="78"/>
      <c r="AC77" s="78">
        <f t="shared" si="87"/>
        <v>9955</v>
      </c>
      <c r="AD77" s="78"/>
      <c r="AE77" s="78">
        <f t="shared" si="88"/>
        <v>9955</v>
      </c>
      <c r="AF77" s="78"/>
      <c r="AG77" s="78">
        <f t="shared" si="89"/>
        <v>9955</v>
      </c>
      <c r="AH77" s="78"/>
      <c r="AI77" s="78">
        <f t="shared" si="90"/>
        <v>9955</v>
      </c>
      <c r="AJ77" s="78"/>
      <c r="AK77" s="78">
        <f t="shared" si="91"/>
        <v>9955</v>
      </c>
      <c r="AL77" s="78"/>
      <c r="AM77" s="78">
        <f t="shared" si="92"/>
        <v>9955</v>
      </c>
    </row>
    <row r="78" spans="1:39" s="23" customFormat="1" ht="27.75" customHeight="1">
      <c r="A78" s="64"/>
      <c r="B78" s="84"/>
      <c r="C78" s="67">
        <v>4700</v>
      </c>
      <c r="D78" s="37" t="s">
        <v>234</v>
      </c>
      <c r="E78" s="78">
        <v>2000</v>
      </c>
      <c r="F78" s="78"/>
      <c r="G78" s="78">
        <f t="shared" si="76"/>
        <v>2000</v>
      </c>
      <c r="H78" s="78"/>
      <c r="I78" s="78">
        <f t="shared" si="77"/>
        <v>2000</v>
      </c>
      <c r="J78" s="78"/>
      <c r="K78" s="78">
        <f t="shared" si="78"/>
        <v>2000</v>
      </c>
      <c r="L78" s="78"/>
      <c r="M78" s="78">
        <f t="shared" si="79"/>
        <v>2000</v>
      </c>
      <c r="N78" s="78"/>
      <c r="O78" s="78">
        <f t="shared" si="80"/>
        <v>2000</v>
      </c>
      <c r="P78" s="78"/>
      <c r="Q78" s="78">
        <f t="shared" si="81"/>
        <v>2000</v>
      </c>
      <c r="R78" s="78"/>
      <c r="S78" s="78">
        <f t="shared" si="82"/>
        <v>2000</v>
      </c>
      <c r="T78" s="78"/>
      <c r="U78" s="78">
        <f t="shared" si="83"/>
        <v>2000</v>
      </c>
      <c r="V78" s="78"/>
      <c r="W78" s="78">
        <f t="shared" si="84"/>
        <v>2000</v>
      </c>
      <c r="X78" s="78"/>
      <c r="Y78" s="78">
        <f t="shared" si="85"/>
        <v>2000</v>
      </c>
      <c r="Z78" s="78"/>
      <c r="AA78" s="78">
        <f t="shared" si="86"/>
        <v>2000</v>
      </c>
      <c r="AB78" s="78"/>
      <c r="AC78" s="78">
        <f t="shared" si="87"/>
        <v>2000</v>
      </c>
      <c r="AD78" s="78"/>
      <c r="AE78" s="78">
        <f t="shared" si="88"/>
        <v>2000</v>
      </c>
      <c r="AF78" s="78"/>
      <c r="AG78" s="78">
        <f t="shared" si="89"/>
        <v>2000</v>
      </c>
      <c r="AH78" s="78"/>
      <c r="AI78" s="78">
        <f t="shared" si="90"/>
        <v>2000</v>
      </c>
      <c r="AJ78" s="78"/>
      <c r="AK78" s="78">
        <f t="shared" si="91"/>
        <v>2000</v>
      </c>
      <c r="AL78" s="78"/>
      <c r="AM78" s="78">
        <f t="shared" si="92"/>
        <v>2000</v>
      </c>
    </row>
    <row r="79" spans="1:39" s="23" customFormat="1" ht="24">
      <c r="A79" s="64"/>
      <c r="B79" s="84"/>
      <c r="C79" s="67">
        <v>4740</v>
      </c>
      <c r="D79" s="37" t="s">
        <v>249</v>
      </c>
      <c r="E79" s="78">
        <v>1000</v>
      </c>
      <c r="F79" s="78"/>
      <c r="G79" s="78">
        <f t="shared" si="76"/>
        <v>1000</v>
      </c>
      <c r="H79" s="78"/>
      <c r="I79" s="78">
        <f t="shared" si="77"/>
        <v>1000</v>
      </c>
      <c r="J79" s="78"/>
      <c r="K79" s="78">
        <f t="shared" si="78"/>
        <v>1000</v>
      </c>
      <c r="L79" s="78"/>
      <c r="M79" s="78">
        <f t="shared" si="79"/>
        <v>1000</v>
      </c>
      <c r="N79" s="78"/>
      <c r="O79" s="78">
        <f t="shared" si="80"/>
        <v>1000</v>
      </c>
      <c r="P79" s="78"/>
      <c r="Q79" s="78">
        <f t="shared" si="81"/>
        <v>1000</v>
      </c>
      <c r="R79" s="78"/>
      <c r="S79" s="78">
        <f t="shared" si="82"/>
        <v>1000</v>
      </c>
      <c r="T79" s="78"/>
      <c r="U79" s="78">
        <f t="shared" si="83"/>
        <v>1000</v>
      </c>
      <c r="V79" s="78"/>
      <c r="W79" s="78">
        <f t="shared" si="84"/>
        <v>1000</v>
      </c>
      <c r="X79" s="78"/>
      <c r="Y79" s="78">
        <f t="shared" si="85"/>
        <v>1000</v>
      </c>
      <c r="Z79" s="78"/>
      <c r="AA79" s="78">
        <f t="shared" si="86"/>
        <v>1000</v>
      </c>
      <c r="AB79" s="78"/>
      <c r="AC79" s="78">
        <f t="shared" si="87"/>
        <v>1000</v>
      </c>
      <c r="AD79" s="78"/>
      <c r="AE79" s="78">
        <f t="shared" si="88"/>
        <v>1000</v>
      </c>
      <c r="AF79" s="78"/>
      <c r="AG79" s="78">
        <f t="shared" si="89"/>
        <v>1000</v>
      </c>
      <c r="AH79" s="78"/>
      <c r="AI79" s="78">
        <f t="shared" si="90"/>
        <v>1000</v>
      </c>
      <c r="AJ79" s="78"/>
      <c r="AK79" s="78">
        <f t="shared" si="91"/>
        <v>1000</v>
      </c>
      <c r="AL79" s="78"/>
      <c r="AM79" s="78">
        <f t="shared" si="92"/>
        <v>1000</v>
      </c>
    </row>
    <row r="80" spans="1:39" s="23" customFormat="1" ht="27" customHeight="1">
      <c r="A80" s="64"/>
      <c r="B80" s="84"/>
      <c r="C80" s="67">
        <v>4750</v>
      </c>
      <c r="D80" s="37" t="s">
        <v>222</v>
      </c>
      <c r="E80" s="78">
        <v>2000</v>
      </c>
      <c r="F80" s="78"/>
      <c r="G80" s="78">
        <f t="shared" si="76"/>
        <v>2000</v>
      </c>
      <c r="H80" s="78"/>
      <c r="I80" s="78">
        <f t="shared" si="77"/>
        <v>2000</v>
      </c>
      <c r="J80" s="78"/>
      <c r="K80" s="78">
        <f t="shared" si="78"/>
        <v>2000</v>
      </c>
      <c r="L80" s="78"/>
      <c r="M80" s="78">
        <f t="shared" si="79"/>
        <v>2000</v>
      </c>
      <c r="N80" s="78"/>
      <c r="O80" s="78">
        <f t="shared" si="80"/>
        <v>2000</v>
      </c>
      <c r="P80" s="78"/>
      <c r="Q80" s="78">
        <f t="shared" si="81"/>
        <v>2000</v>
      </c>
      <c r="R80" s="78"/>
      <c r="S80" s="78">
        <f t="shared" si="82"/>
        <v>2000</v>
      </c>
      <c r="T80" s="78"/>
      <c r="U80" s="78">
        <f t="shared" si="83"/>
        <v>2000</v>
      </c>
      <c r="V80" s="78"/>
      <c r="W80" s="78">
        <f t="shared" si="84"/>
        <v>2000</v>
      </c>
      <c r="X80" s="78"/>
      <c r="Y80" s="78">
        <f t="shared" si="85"/>
        <v>2000</v>
      </c>
      <c r="Z80" s="78"/>
      <c r="AA80" s="78">
        <f t="shared" si="86"/>
        <v>2000</v>
      </c>
      <c r="AB80" s="78"/>
      <c r="AC80" s="78">
        <f t="shared" si="87"/>
        <v>2000</v>
      </c>
      <c r="AD80" s="78"/>
      <c r="AE80" s="78">
        <f t="shared" si="88"/>
        <v>2000</v>
      </c>
      <c r="AF80" s="78"/>
      <c r="AG80" s="78">
        <f t="shared" si="89"/>
        <v>2000</v>
      </c>
      <c r="AH80" s="78"/>
      <c r="AI80" s="78">
        <f t="shared" si="90"/>
        <v>2000</v>
      </c>
      <c r="AJ80" s="78"/>
      <c r="AK80" s="78">
        <f t="shared" si="91"/>
        <v>2000</v>
      </c>
      <c r="AL80" s="78"/>
      <c r="AM80" s="78">
        <f t="shared" si="92"/>
        <v>2000</v>
      </c>
    </row>
    <row r="81" spans="1:39" s="23" customFormat="1" ht="24">
      <c r="A81" s="83"/>
      <c r="B81" s="79" t="s">
        <v>90</v>
      </c>
      <c r="C81" s="83"/>
      <c r="D81" s="37" t="s">
        <v>147</v>
      </c>
      <c r="E81" s="78">
        <f aca="true" t="shared" si="93" ref="E81:W81">SUM(E82:E91)</f>
        <v>300000</v>
      </c>
      <c r="F81" s="78">
        <f t="shared" si="93"/>
        <v>14000</v>
      </c>
      <c r="G81" s="78">
        <f t="shared" si="93"/>
        <v>314000</v>
      </c>
      <c r="H81" s="78">
        <f t="shared" si="93"/>
        <v>0</v>
      </c>
      <c r="I81" s="78">
        <f t="shared" si="93"/>
        <v>314000</v>
      </c>
      <c r="J81" s="78">
        <f t="shared" si="93"/>
        <v>0</v>
      </c>
      <c r="K81" s="78">
        <f t="shared" si="93"/>
        <v>314000</v>
      </c>
      <c r="L81" s="78">
        <f t="shared" si="93"/>
        <v>0</v>
      </c>
      <c r="M81" s="78">
        <f t="shared" si="93"/>
        <v>314000</v>
      </c>
      <c r="N81" s="78">
        <f t="shared" si="93"/>
        <v>0</v>
      </c>
      <c r="O81" s="78">
        <f t="shared" si="93"/>
        <v>314000</v>
      </c>
      <c r="P81" s="78">
        <f t="shared" si="93"/>
        <v>0</v>
      </c>
      <c r="Q81" s="78">
        <f t="shared" si="93"/>
        <v>314000</v>
      </c>
      <c r="R81" s="78">
        <f t="shared" si="93"/>
        <v>0</v>
      </c>
      <c r="S81" s="78">
        <f t="shared" si="93"/>
        <v>314000</v>
      </c>
      <c r="T81" s="78">
        <f t="shared" si="93"/>
        <v>0</v>
      </c>
      <c r="U81" s="78">
        <f t="shared" si="93"/>
        <v>314000</v>
      </c>
      <c r="V81" s="78">
        <f t="shared" si="93"/>
        <v>0</v>
      </c>
      <c r="W81" s="78">
        <f t="shared" si="93"/>
        <v>314000</v>
      </c>
      <c r="X81" s="78">
        <f aca="true" t="shared" si="94" ref="X81:AC81">SUM(X82:X91)</f>
        <v>0</v>
      </c>
      <c r="Y81" s="78">
        <f t="shared" si="94"/>
        <v>314000</v>
      </c>
      <c r="Z81" s="78">
        <f t="shared" si="94"/>
        <v>10400</v>
      </c>
      <c r="AA81" s="78">
        <f t="shared" si="94"/>
        <v>324400</v>
      </c>
      <c r="AB81" s="78">
        <f t="shared" si="94"/>
        <v>0</v>
      </c>
      <c r="AC81" s="78">
        <f t="shared" si="94"/>
        <v>324400</v>
      </c>
      <c r="AD81" s="78">
        <f aca="true" t="shared" si="95" ref="AD81:AI81">SUM(AD82:AD91)</f>
        <v>0</v>
      </c>
      <c r="AE81" s="78">
        <f t="shared" si="95"/>
        <v>324400</v>
      </c>
      <c r="AF81" s="78">
        <f t="shared" si="95"/>
        <v>0</v>
      </c>
      <c r="AG81" s="78">
        <f t="shared" si="95"/>
        <v>324400</v>
      </c>
      <c r="AH81" s="78">
        <f t="shared" si="95"/>
        <v>0</v>
      </c>
      <c r="AI81" s="78">
        <f t="shared" si="95"/>
        <v>324400</v>
      </c>
      <c r="AJ81" s="78">
        <f>SUM(AJ82:AJ91)</f>
        <v>0</v>
      </c>
      <c r="AK81" s="78">
        <f>SUM(AK82:AK91)</f>
        <v>324400</v>
      </c>
      <c r="AL81" s="78">
        <f>SUM(AL82:AL91)</f>
        <v>-2100</v>
      </c>
      <c r="AM81" s="78">
        <f>SUM(AM82:AM91)</f>
        <v>322300</v>
      </c>
    </row>
    <row r="82" spans="1:39" s="23" customFormat="1" ht="21" customHeight="1">
      <c r="A82" s="83"/>
      <c r="B82" s="79"/>
      <c r="C82" s="64">
        <v>3030</v>
      </c>
      <c r="D82" s="37" t="s">
        <v>88</v>
      </c>
      <c r="E82" s="78">
        <v>257000</v>
      </c>
      <c r="F82" s="78"/>
      <c r="G82" s="78">
        <f>SUM(E82:F82)</f>
        <v>257000</v>
      </c>
      <c r="H82" s="78"/>
      <c r="I82" s="78">
        <f>SUM(G82:H82)</f>
        <v>257000</v>
      </c>
      <c r="J82" s="78"/>
      <c r="K82" s="78">
        <f>SUM(I82:J82)</f>
        <v>257000</v>
      </c>
      <c r="L82" s="78"/>
      <c r="M82" s="78">
        <f>SUM(K82:L82)</f>
        <v>257000</v>
      </c>
      <c r="N82" s="78"/>
      <c r="O82" s="78">
        <f>SUM(M82:N82)</f>
        <v>257000</v>
      </c>
      <c r="P82" s="78">
        <v>9000</v>
      </c>
      <c r="Q82" s="78">
        <f>SUM(O82:P82)</f>
        <v>266000</v>
      </c>
      <c r="R82" s="78">
        <v>-1500</v>
      </c>
      <c r="S82" s="78">
        <f>SUM(Q82:R82)</f>
        <v>264500</v>
      </c>
      <c r="T82" s="78"/>
      <c r="U82" s="78">
        <f>SUM(S82:T82)</f>
        <v>264500</v>
      </c>
      <c r="V82" s="78"/>
      <c r="W82" s="78">
        <f>SUM(U82:V82)</f>
        <v>264500</v>
      </c>
      <c r="X82" s="78"/>
      <c r="Y82" s="78">
        <f>SUM(W82:X82)</f>
        <v>264500</v>
      </c>
      <c r="Z82" s="78"/>
      <c r="AA82" s="78">
        <f>SUM(Y82:Z82)</f>
        <v>264500</v>
      </c>
      <c r="AB82" s="78"/>
      <c r="AC82" s="78">
        <f>SUM(AA82:AB82)</f>
        <v>264500</v>
      </c>
      <c r="AD82" s="78"/>
      <c r="AE82" s="78">
        <f>SUM(AC82:AD82)</f>
        <v>264500</v>
      </c>
      <c r="AF82" s="78"/>
      <c r="AG82" s="78">
        <f>SUM(AE82:AF82)</f>
        <v>264500</v>
      </c>
      <c r="AH82" s="78">
        <v>900</v>
      </c>
      <c r="AI82" s="78">
        <f>SUM(AG82:AH82)</f>
        <v>265400</v>
      </c>
      <c r="AJ82" s="78"/>
      <c r="AK82" s="78">
        <f>SUM(AI82:AJ82)</f>
        <v>265400</v>
      </c>
      <c r="AL82" s="78">
        <v>-8000</v>
      </c>
      <c r="AM82" s="78">
        <f>SUM(AK82:AL82)</f>
        <v>257400</v>
      </c>
    </row>
    <row r="83" spans="1:42" s="23" customFormat="1" ht="21" customHeight="1">
      <c r="A83" s="83"/>
      <c r="B83" s="79"/>
      <c r="C83" s="64">
        <v>4170</v>
      </c>
      <c r="D83" s="37" t="s">
        <v>189</v>
      </c>
      <c r="E83" s="78">
        <v>2000</v>
      </c>
      <c r="F83" s="78"/>
      <c r="G83" s="78">
        <f aca="true" t="shared" si="96" ref="G83:G91">SUM(E83:F83)</f>
        <v>2000</v>
      </c>
      <c r="H83" s="78"/>
      <c r="I83" s="78">
        <f aca="true" t="shared" si="97" ref="I83:I91">SUM(G83:H83)</f>
        <v>2000</v>
      </c>
      <c r="J83" s="78"/>
      <c r="K83" s="78">
        <f aca="true" t="shared" si="98" ref="K83:K91">SUM(I83:J83)</f>
        <v>2000</v>
      </c>
      <c r="L83" s="78"/>
      <c r="M83" s="78">
        <f aca="true" t="shared" si="99" ref="M83:M91">SUM(K83:L83)</f>
        <v>2000</v>
      </c>
      <c r="N83" s="78"/>
      <c r="O83" s="78">
        <f aca="true" t="shared" si="100" ref="O83:O91">SUM(M83:N83)</f>
        <v>2000</v>
      </c>
      <c r="P83" s="78"/>
      <c r="Q83" s="78">
        <f aca="true" t="shared" si="101" ref="Q83:Q91">SUM(O83:P83)</f>
        <v>2000</v>
      </c>
      <c r="R83" s="78"/>
      <c r="S83" s="78">
        <f aca="true" t="shared" si="102" ref="S83:S91">SUM(Q83:R83)</f>
        <v>2000</v>
      </c>
      <c r="T83" s="78"/>
      <c r="U83" s="78">
        <f aca="true" t="shared" si="103" ref="U83:U91">SUM(S83:T83)</f>
        <v>2000</v>
      </c>
      <c r="V83" s="78"/>
      <c r="W83" s="78">
        <f aca="true" t="shared" si="104" ref="W83:W91">SUM(U83:V83)</f>
        <v>2000</v>
      </c>
      <c r="X83" s="78"/>
      <c r="Y83" s="78">
        <f aca="true" t="shared" si="105" ref="Y83:Y91">SUM(W83:X83)</f>
        <v>2000</v>
      </c>
      <c r="Z83" s="78"/>
      <c r="AA83" s="78">
        <f aca="true" t="shared" si="106" ref="AA83:AA91">SUM(Y83:Z83)</f>
        <v>2000</v>
      </c>
      <c r="AB83" s="78"/>
      <c r="AC83" s="78">
        <f aca="true" t="shared" si="107" ref="AC83:AC91">SUM(AA83:AB83)</f>
        <v>2000</v>
      </c>
      <c r="AD83" s="78"/>
      <c r="AE83" s="78">
        <f aca="true" t="shared" si="108" ref="AE83:AE91">SUM(AC83:AD83)</f>
        <v>2000</v>
      </c>
      <c r="AF83" s="78"/>
      <c r="AG83" s="78">
        <f aca="true" t="shared" si="109" ref="AG83:AG91">SUM(AE83:AF83)</f>
        <v>2000</v>
      </c>
      <c r="AH83" s="78"/>
      <c r="AI83" s="78">
        <f aca="true" t="shared" si="110" ref="AI83:AI91">SUM(AG83:AH83)</f>
        <v>2000</v>
      </c>
      <c r="AJ83" s="78"/>
      <c r="AK83" s="78">
        <f aca="true" t="shared" si="111" ref="AK83:AK91">SUM(AI83:AJ83)</f>
        <v>2000</v>
      </c>
      <c r="AL83" s="78"/>
      <c r="AM83" s="78">
        <f aca="true" t="shared" si="112" ref="AM83:AM91">SUM(AK83:AL83)</f>
        <v>2000</v>
      </c>
      <c r="AN83" s="113"/>
      <c r="AO83" s="113"/>
      <c r="AP83" s="113"/>
    </row>
    <row r="84" spans="1:39" s="23" customFormat="1" ht="21" customHeight="1">
      <c r="A84" s="83"/>
      <c r="B84" s="79"/>
      <c r="C84" s="64">
        <v>4210</v>
      </c>
      <c r="D84" s="37" t="s">
        <v>91</v>
      </c>
      <c r="E84" s="78">
        <v>15500</v>
      </c>
      <c r="F84" s="78">
        <v>5000</v>
      </c>
      <c r="G84" s="78">
        <f t="shared" si="96"/>
        <v>20500</v>
      </c>
      <c r="H84" s="78"/>
      <c r="I84" s="78">
        <f t="shared" si="97"/>
        <v>20500</v>
      </c>
      <c r="J84" s="78"/>
      <c r="K84" s="78">
        <f t="shared" si="98"/>
        <v>20500</v>
      </c>
      <c r="L84" s="78"/>
      <c r="M84" s="78">
        <f t="shared" si="99"/>
        <v>20500</v>
      </c>
      <c r="N84" s="78"/>
      <c r="O84" s="78">
        <f t="shared" si="100"/>
        <v>20500</v>
      </c>
      <c r="P84" s="78">
        <v>1000</v>
      </c>
      <c r="Q84" s="78">
        <f t="shared" si="101"/>
        <v>21500</v>
      </c>
      <c r="R84" s="78">
        <v>1000</v>
      </c>
      <c r="S84" s="78">
        <f t="shared" si="102"/>
        <v>22500</v>
      </c>
      <c r="T84" s="78"/>
      <c r="U84" s="78">
        <f t="shared" si="103"/>
        <v>22500</v>
      </c>
      <c r="V84" s="78"/>
      <c r="W84" s="78">
        <f t="shared" si="104"/>
        <v>22500</v>
      </c>
      <c r="X84" s="78"/>
      <c r="Y84" s="78">
        <f t="shared" si="105"/>
        <v>22500</v>
      </c>
      <c r="Z84" s="78">
        <v>1750</v>
      </c>
      <c r="AA84" s="78">
        <f t="shared" si="106"/>
        <v>24250</v>
      </c>
      <c r="AB84" s="78"/>
      <c r="AC84" s="78">
        <f t="shared" si="107"/>
        <v>24250</v>
      </c>
      <c r="AD84" s="78"/>
      <c r="AE84" s="78">
        <f t="shared" si="108"/>
        <v>24250</v>
      </c>
      <c r="AF84" s="78"/>
      <c r="AG84" s="78">
        <f t="shared" si="109"/>
        <v>24250</v>
      </c>
      <c r="AH84" s="78"/>
      <c r="AI84" s="78">
        <f t="shared" si="110"/>
        <v>24250</v>
      </c>
      <c r="AJ84" s="78"/>
      <c r="AK84" s="78">
        <f t="shared" si="111"/>
        <v>24250</v>
      </c>
      <c r="AL84" s="78">
        <v>2900</v>
      </c>
      <c r="AM84" s="78">
        <f t="shared" si="112"/>
        <v>27150</v>
      </c>
    </row>
    <row r="85" spans="1:39" s="23" customFormat="1" ht="19.5" customHeight="1">
      <c r="A85" s="83"/>
      <c r="B85" s="79"/>
      <c r="C85" s="64">
        <v>4300</v>
      </c>
      <c r="D85" s="37" t="s">
        <v>78</v>
      </c>
      <c r="E85" s="78">
        <v>17900</v>
      </c>
      <c r="F85" s="78">
        <v>3000</v>
      </c>
      <c r="G85" s="78">
        <f t="shared" si="96"/>
        <v>20900</v>
      </c>
      <c r="H85" s="78"/>
      <c r="I85" s="78">
        <f t="shared" si="97"/>
        <v>20900</v>
      </c>
      <c r="J85" s="78"/>
      <c r="K85" s="78">
        <f t="shared" si="98"/>
        <v>20900</v>
      </c>
      <c r="L85" s="78"/>
      <c r="M85" s="78">
        <f t="shared" si="99"/>
        <v>20900</v>
      </c>
      <c r="N85" s="78"/>
      <c r="O85" s="78">
        <f t="shared" si="100"/>
        <v>20900</v>
      </c>
      <c r="P85" s="78"/>
      <c r="Q85" s="78">
        <f t="shared" si="101"/>
        <v>20900</v>
      </c>
      <c r="R85" s="78">
        <v>500</v>
      </c>
      <c r="S85" s="78">
        <f t="shared" si="102"/>
        <v>21400</v>
      </c>
      <c r="T85" s="78"/>
      <c r="U85" s="78">
        <f t="shared" si="103"/>
        <v>21400</v>
      </c>
      <c r="V85" s="78"/>
      <c r="W85" s="78">
        <f t="shared" si="104"/>
        <v>21400</v>
      </c>
      <c r="X85" s="78"/>
      <c r="Y85" s="78">
        <f t="shared" si="105"/>
        <v>21400</v>
      </c>
      <c r="Z85" s="78">
        <v>7250</v>
      </c>
      <c r="AA85" s="78">
        <f t="shared" si="106"/>
        <v>28650</v>
      </c>
      <c r="AB85" s="78"/>
      <c r="AC85" s="78">
        <f t="shared" si="107"/>
        <v>28650</v>
      </c>
      <c r="AD85" s="78"/>
      <c r="AE85" s="78">
        <f t="shared" si="108"/>
        <v>28650</v>
      </c>
      <c r="AF85" s="78"/>
      <c r="AG85" s="78">
        <f t="shared" si="109"/>
        <v>28650</v>
      </c>
      <c r="AH85" s="78"/>
      <c r="AI85" s="78">
        <f t="shared" si="110"/>
        <v>28650</v>
      </c>
      <c r="AJ85" s="78"/>
      <c r="AK85" s="78">
        <f t="shared" si="111"/>
        <v>28650</v>
      </c>
      <c r="AL85" s="78">
        <v>3000</v>
      </c>
      <c r="AM85" s="78">
        <f t="shared" si="112"/>
        <v>31650</v>
      </c>
    </row>
    <row r="86" spans="1:39" s="23" customFormat="1" ht="36">
      <c r="A86" s="83"/>
      <c r="B86" s="79"/>
      <c r="C86" s="64">
        <v>4370</v>
      </c>
      <c r="D86" s="37" t="s">
        <v>362</v>
      </c>
      <c r="E86" s="78">
        <v>100</v>
      </c>
      <c r="F86" s="78"/>
      <c r="G86" s="78">
        <f t="shared" si="96"/>
        <v>100</v>
      </c>
      <c r="H86" s="78"/>
      <c r="I86" s="78">
        <f t="shared" si="97"/>
        <v>100</v>
      </c>
      <c r="J86" s="78"/>
      <c r="K86" s="78">
        <f t="shared" si="98"/>
        <v>100</v>
      </c>
      <c r="L86" s="78"/>
      <c r="M86" s="78">
        <f t="shared" si="99"/>
        <v>100</v>
      </c>
      <c r="N86" s="78"/>
      <c r="O86" s="78">
        <f t="shared" si="100"/>
        <v>100</v>
      </c>
      <c r="P86" s="78"/>
      <c r="Q86" s="78">
        <f t="shared" si="101"/>
        <v>100</v>
      </c>
      <c r="R86" s="78"/>
      <c r="S86" s="78">
        <f t="shared" si="102"/>
        <v>100</v>
      </c>
      <c r="T86" s="78"/>
      <c r="U86" s="78">
        <f t="shared" si="103"/>
        <v>100</v>
      </c>
      <c r="V86" s="78"/>
      <c r="W86" s="78">
        <f t="shared" si="104"/>
        <v>100</v>
      </c>
      <c r="X86" s="78"/>
      <c r="Y86" s="78">
        <f t="shared" si="105"/>
        <v>100</v>
      </c>
      <c r="Z86" s="78"/>
      <c r="AA86" s="78">
        <f t="shared" si="106"/>
        <v>100</v>
      </c>
      <c r="AB86" s="78"/>
      <c r="AC86" s="78">
        <f t="shared" si="107"/>
        <v>100</v>
      </c>
      <c r="AD86" s="78"/>
      <c r="AE86" s="78">
        <f t="shared" si="108"/>
        <v>100</v>
      </c>
      <c r="AF86" s="78"/>
      <c r="AG86" s="78">
        <f t="shared" si="109"/>
        <v>100</v>
      </c>
      <c r="AH86" s="78"/>
      <c r="AI86" s="78">
        <f t="shared" si="110"/>
        <v>100</v>
      </c>
      <c r="AJ86" s="78"/>
      <c r="AK86" s="78">
        <f t="shared" si="111"/>
        <v>100</v>
      </c>
      <c r="AL86" s="78"/>
      <c r="AM86" s="78">
        <f t="shared" si="112"/>
        <v>100</v>
      </c>
    </row>
    <row r="87" spans="1:39" s="23" customFormat="1" ht="21" customHeight="1">
      <c r="A87" s="83"/>
      <c r="B87" s="79"/>
      <c r="C87" s="64">
        <v>4410</v>
      </c>
      <c r="D87" s="37" t="s">
        <v>89</v>
      </c>
      <c r="E87" s="78">
        <v>2000</v>
      </c>
      <c r="F87" s="78">
        <v>6000</v>
      </c>
      <c r="G87" s="78">
        <f t="shared" si="96"/>
        <v>8000</v>
      </c>
      <c r="H87" s="78"/>
      <c r="I87" s="78">
        <f t="shared" si="97"/>
        <v>8000</v>
      </c>
      <c r="J87" s="78"/>
      <c r="K87" s="78">
        <f t="shared" si="98"/>
        <v>8000</v>
      </c>
      <c r="L87" s="78"/>
      <c r="M87" s="78">
        <f t="shared" si="99"/>
        <v>8000</v>
      </c>
      <c r="N87" s="78"/>
      <c r="O87" s="78">
        <f t="shared" si="100"/>
        <v>8000</v>
      </c>
      <c r="P87" s="78">
        <v>-8000</v>
      </c>
      <c r="Q87" s="78">
        <f t="shared" si="101"/>
        <v>0</v>
      </c>
      <c r="R87" s="78"/>
      <c r="S87" s="78">
        <f t="shared" si="102"/>
        <v>0</v>
      </c>
      <c r="T87" s="78"/>
      <c r="U87" s="78">
        <f t="shared" si="103"/>
        <v>0</v>
      </c>
      <c r="V87" s="78"/>
      <c r="W87" s="78">
        <f t="shared" si="104"/>
        <v>0</v>
      </c>
      <c r="X87" s="78"/>
      <c r="Y87" s="78">
        <f t="shared" si="105"/>
        <v>0</v>
      </c>
      <c r="Z87" s="78"/>
      <c r="AA87" s="78">
        <f t="shared" si="106"/>
        <v>0</v>
      </c>
      <c r="AB87" s="78"/>
      <c r="AC87" s="78">
        <f t="shared" si="107"/>
        <v>0</v>
      </c>
      <c r="AD87" s="78"/>
      <c r="AE87" s="78">
        <f t="shared" si="108"/>
        <v>0</v>
      </c>
      <c r="AF87" s="78"/>
      <c r="AG87" s="78">
        <f t="shared" si="109"/>
        <v>0</v>
      </c>
      <c r="AH87" s="78"/>
      <c r="AI87" s="78">
        <f t="shared" si="110"/>
        <v>0</v>
      </c>
      <c r="AJ87" s="78"/>
      <c r="AK87" s="78">
        <f t="shared" si="111"/>
        <v>0</v>
      </c>
      <c r="AL87" s="78"/>
      <c r="AM87" s="78">
        <f t="shared" si="112"/>
        <v>0</v>
      </c>
    </row>
    <row r="88" spans="1:39" s="23" customFormat="1" ht="21" customHeight="1">
      <c r="A88" s="83"/>
      <c r="B88" s="79"/>
      <c r="C88" s="64">
        <v>4420</v>
      </c>
      <c r="D88" s="37" t="s">
        <v>92</v>
      </c>
      <c r="E88" s="78">
        <v>2000</v>
      </c>
      <c r="F88" s="78"/>
      <c r="G88" s="78">
        <f t="shared" si="96"/>
        <v>2000</v>
      </c>
      <c r="H88" s="78"/>
      <c r="I88" s="78">
        <f t="shared" si="97"/>
        <v>2000</v>
      </c>
      <c r="J88" s="78"/>
      <c r="K88" s="78">
        <f t="shared" si="98"/>
        <v>2000</v>
      </c>
      <c r="L88" s="78"/>
      <c r="M88" s="78">
        <f t="shared" si="99"/>
        <v>2000</v>
      </c>
      <c r="N88" s="78"/>
      <c r="O88" s="78">
        <f t="shared" si="100"/>
        <v>2000</v>
      </c>
      <c r="P88" s="78">
        <v>-2000</v>
      </c>
      <c r="Q88" s="78">
        <f t="shared" si="101"/>
        <v>0</v>
      </c>
      <c r="R88" s="78"/>
      <c r="S88" s="78">
        <f t="shared" si="102"/>
        <v>0</v>
      </c>
      <c r="T88" s="78"/>
      <c r="U88" s="78">
        <f t="shared" si="103"/>
        <v>0</v>
      </c>
      <c r="V88" s="78"/>
      <c r="W88" s="78">
        <f t="shared" si="104"/>
        <v>0</v>
      </c>
      <c r="X88" s="78"/>
      <c r="Y88" s="78">
        <f t="shared" si="105"/>
        <v>0</v>
      </c>
      <c r="Z88" s="78">
        <v>900</v>
      </c>
      <c r="AA88" s="78">
        <f t="shared" si="106"/>
        <v>900</v>
      </c>
      <c r="AB88" s="78"/>
      <c r="AC88" s="78">
        <f t="shared" si="107"/>
        <v>900</v>
      </c>
      <c r="AD88" s="78"/>
      <c r="AE88" s="78">
        <f t="shared" si="108"/>
        <v>900</v>
      </c>
      <c r="AF88" s="78"/>
      <c r="AG88" s="78">
        <f t="shared" si="109"/>
        <v>900</v>
      </c>
      <c r="AH88" s="78">
        <v>-900</v>
      </c>
      <c r="AI88" s="78">
        <f t="shared" si="110"/>
        <v>0</v>
      </c>
      <c r="AJ88" s="78"/>
      <c r="AK88" s="78">
        <f t="shared" si="111"/>
        <v>0</v>
      </c>
      <c r="AL88" s="78"/>
      <c r="AM88" s="78">
        <f t="shared" si="112"/>
        <v>0</v>
      </c>
    </row>
    <row r="89" spans="1:39" s="23" customFormat="1" ht="21" customHeight="1">
      <c r="A89" s="83"/>
      <c r="B89" s="79"/>
      <c r="C89" s="67">
        <v>4430</v>
      </c>
      <c r="D89" s="37" t="s">
        <v>93</v>
      </c>
      <c r="E89" s="78">
        <v>500</v>
      </c>
      <c r="F89" s="78"/>
      <c r="G89" s="78">
        <f t="shared" si="96"/>
        <v>500</v>
      </c>
      <c r="H89" s="78"/>
      <c r="I89" s="78">
        <f t="shared" si="97"/>
        <v>500</v>
      </c>
      <c r="J89" s="78"/>
      <c r="K89" s="78">
        <f t="shared" si="98"/>
        <v>500</v>
      </c>
      <c r="L89" s="78"/>
      <c r="M89" s="78">
        <f t="shared" si="99"/>
        <v>500</v>
      </c>
      <c r="N89" s="78"/>
      <c r="O89" s="78">
        <f t="shared" si="100"/>
        <v>500</v>
      </c>
      <c r="P89" s="78"/>
      <c r="Q89" s="78">
        <f t="shared" si="101"/>
        <v>500</v>
      </c>
      <c r="R89" s="78"/>
      <c r="S89" s="78">
        <f t="shared" si="102"/>
        <v>500</v>
      </c>
      <c r="T89" s="78"/>
      <c r="U89" s="78">
        <f t="shared" si="103"/>
        <v>500</v>
      </c>
      <c r="V89" s="78"/>
      <c r="W89" s="78">
        <f t="shared" si="104"/>
        <v>500</v>
      </c>
      <c r="X89" s="78"/>
      <c r="Y89" s="78">
        <f t="shared" si="105"/>
        <v>500</v>
      </c>
      <c r="Z89" s="78">
        <v>500</v>
      </c>
      <c r="AA89" s="78">
        <f t="shared" si="106"/>
        <v>1000</v>
      </c>
      <c r="AB89" s="78"/>
      <c r="AC89" s="78">
        <f t="shared" si="107"/>
        <v>1000</v>
      </c>
      <c r="AD89" s="78"/>
      <c r="AE89" s="78">
        <f t="shared" si="108"/>
        <v>1000</v>
      </c>
      <c r="AF89" s="78"/>
      <c r="AG89" s="78">
        <f t="shared" si="109"/>
        <v>1000</v>
      </c>
      <c r="AH89" s="78"/>
      <c r="AI89" s="78">
        <f t="shared" si="110"/>
        <v>1000</v>
      </c>
      <c r="AJ89" s="78"/>
      <c r="AK89" s="78">
        <f t="shared" si="111"/>
        <v>1000</v>
      </c>
      <c r="AL89" s="78"/>
      <c r="AM89" s="78">
        <f t="shared" si="112"/>
        <v>1000</v>
      </c>
    </row>
    <row r="90" spans="1:39" s="23" customFormat="1" ht="24">
      <c r="A90" s="83"/>
      <c r="B90" s="79"/>
      <c r="C90" s="67">
        <v>4740</v>
      </c>
      <c r="D90" s="37" t="s">
        <v>249</v>
      </c>
      <c r="E90" s="78">
        <v>2000</v>
      </c>
      <c r="F90" s="78"/>
      <c r="G90" s="78">
        <f t="shared" si="96"/>
        <v>2000</v>
      </c>
      <c r="H90" s="78"/>
      <c r="I90" s="78">
        <f t="shared" si="97"/>
        <v>2000</v>
      </c>
      <c r="J90" s="78"/>
      <c r="K90" s="78">
        <f t="shared" si="98"/>
        <v>2000</v>
      </c>
      <c r="L90" s="78"/>
      <c r="M90" s="78">
        <f t="shared" si="99"/>
        <v>2000</v>
      </c>
      <c r="N90" s="78"/>
      <c r="O90" s="78">
        <f t="shared" si="100"/>
        <v>2000</v>
      </c>
      <c r="P90" s="78"/>
      <c r="Q90" s="78">
        <f t="shared" si="101"/>
        <v>2000</v>
      </c>
      <c r="R90" s="78"/>
      <c r="S90" s="78">
        <f t="shared" si="102"/>
        <v>2000</v>
      </c>
      <c r="T90" s="78"/>
      <c r="U90" s="78">
        <f t="shared" si="103"/>
        <v>2000</v>
      </c>
      <c r="V90" s="78"/>
      <c r="W90" s="78">
        <f t="shared" si="104"/>
        <v>2000</v>
      </c>
      <c r="X90" s="78"/>
      <c r="Y90" s="78">
        <f t="shared" si="105"/>
        <v>2000</v>
      </c>
      <c r="Z90" s="78"/>
      <c r="AA90" s="78">
        <f t="shared" si="106"/>
        <v>2000</v>
      </c>
      <c r="AB90" s="78"/>
      <c r="AC90" s="78">
        <f t="shared" si="107"/>
        <v>2000</v>
      </c>
      <c r="AD90" s="78"/>
      <c r="AE90" s="78">
        <f t="shared" si="108"/>
        <v>2000</v>
      </c>
      <c r="AF90" s="78"/>
      <c r="AG90" s="78">
        <f t="shared" si="109"/>
        <v>2000</v>
      </c>
      <c r="AH90" s="78"/>
      <c r="AI90" s="78">
        <f t="shared" si="110"/>
        <v>2000</v>
      </c>
      <c r="AJ90" s="78"/>
      <c r="AK90" s="78">
        <f t="shared" si="111"/>
        <v>2000</v>
      </c>
      <c r="AL90" s="78"/>
      <c r="AM90" s="78">
        <f t="shared" si="112"/>
        <v>2000</v>
      </c>
    </row>
    <row r="91" spans="1:39" s="23" customFormat="1" ht="24.75" customHeight="1">
      <c r="A91" s="83"/>
      <c r="B91" s="79"/>
      <c r="C91" s="67">
        <v>4750</v>
      </c>
      <c r="D91" s="37" t="s">
        <v>222</v>
      </c>
      <c r="E91" s="78">
        <v>1000</v>
      </c>
      <c r="F91" s="78"/>
      <c r="G91" s="78">
        <f t="shared" si="96"/>
        <v>1000</v>
      </c>
      <c r="H91" s="78"/>
      <c r="I91" s="78">
        <f t="shared" si="97"/>
        <v>1000</v>
      </c>
      <c r="J91" s="78"/>
      <c r="K91" s="78">
        <f t="shared" si="98"/>
        <v>1000</v>
      </c>
      <c r="L91" s="78"/>
      <c r="M91" s="78">
        <f t="shared" si="99"/>
        <v>1000</v>
      </c>
      <c r="N91" s="78"/>
      <c r="O91" s="78">
        <f t="shared" si="100"/>
        <v>1000</v>
      </c>
      <c r="P91" s="78"/>
      <c r="Q91" s="78">
        <f t="shared" si="101"/>
        <v>1000</v>
      </c>
      <c r="R91" s="78"/>
      <c r="S91" s="78">
        <f t="shared" si="102"/>
        <v>1000</v>
      </c>
      <c r="T91" s="78"/>
      <c r="U91" s="78">
        <f t="shared" si="103"/>
        <v>1000</v>
      </c>
      <c r="V91" s="78"/>
      <c r="W91" s="78">
        <f t="shared" si="104"/>
        <v>1000</v>
      </c>
      <c r="X91" s="78"/>
      <c r="Y91" s="78">
        <f t="shared" si="105"/>
        <v>1000</v>
      </c>
      <c r="Z91" s="78"/>
      <c r="AA91" s="78">
        <f t="shared" si="106"/>
        <v>1000</v>
      </c>
      <c r="AB91" s="78"/>
      <c r="AC91" s="78">
        <f t="shared" si="107"/>
        <v>1000</v>
      </c>
      <c r="AD91" s="78"/>
      <c r="AE91" s="78">
        <f t="shared" si="108"/>
        <v>1000</v>
      </c>
      <c r="AF91" s="78"/>
      <c r="AG91" s="78">
        <f t="shared" si="109"/>
        <v>1000</v>
      </c>
      <c r="AH91" s="78"/>
      <c r="AI91" s="78">
        <f t="shared" si="110"/>
        <v>1000</v>
      </c>
      <c r="AJ91" s="78"/>
      <c r="AK91" s="78">
        <f t="shared" si="111"/>
        <v>1000</v>
      </c>
      <c r="AL91" s="78"/>
      <c r="AM91" s="78">
        <f t="shared" si="112"/>
        <v>1000</v>
      </c>
    </row>
    <row r="92" spans="1:39" s="23" customFormat="1" ht="21" customHeight="1">
      <c r="A92" s="83"/>
      <c r="B92" s="79" t="s">
        <v>18</v>
      </c>
      <c r="C92" s="83"/>
      <c r="D92" s="37" t="s">
        <v>19</v>
      </c>
      <c r="E92" s="78">
        <f aca="true" t="shared" si="113" ref="E92:W92">SUM(E93:E116)</f>
        <v>5072300</v>
      </c>
      <c r="F92" s="78">
        <f t="shared" si="113"/>
        <v>-380000</v>
      </c>
      <c r="G92" s="78">
        <f t="shared" si="113"/>
        <v>4692300</v>
      </c>
      <c r="H92" s="78">
        <f t="shared" si="113"/>
        <v>0</v>
      </c>
      <c r="I92" s="78">
        <f t="shared" si="113"/>
        <v>4692300</v>
      </c>
      <c r="J92" s="78">
        <f t="shared" si="113"/>
        <v>0</v>
      </c>
      <c r="K92" s="78">
        <f t="shared" si="113"/>
        <v>4692300</v>
      </c>
      <c r="L92" s="78">
        <f t="shared" si="113"/>
        <v>12111</v>
      </c>
      <c r="M92" s="78">
        <f t="shared" si="113"/>
        <v>4704411</v>
      </c>
      <c r="N92" s="78">
        <f t="shared" si="113"/>
        <v>0</v>
      </c>
      <c r="O92" s="78">
        <f t="shared" si="113"/>
        <v>4704411</v>
      </c>
      <c r="P92" s="78">
        <f t="shared" si="113"/>
        <v>0</v>
      </c>
      <c r="Q92" s="78">
        <f t="shared" si="113"/>
        <v>4704411</v>
      </c>
      <c r="R92" s="78">
        <f t="shared" si="113"/>
        <v>9000</v>
      </c>
      <c r="S92" s="78">
        <f t="shared" si="113"/>
        <v>4713411</v>
      </c>
      <c r="T92" s="78">
        <f t="shared" si="113"/>
        <v>0</v>
      </c>
      <c r="U92" s="78">
        <f t="shared" si="113"/>
        <v>4713411</v>
      </c>
      <c r="V92" s="78">
        <f t="shared" si="113"/>
        <v>0</v>
      </c>
      <c r="W92" s="78">
        <f t="shared" si="113"/>
        <v>4713411</v>
      </c>
      <c r="X92" s="78">
        <f aca="true" t="shared" si="114" ref="X92:AC92">SUM(X93:X116)</f>
        <v>0</v>
      </c>
      <c r="Y92" s="78">
        <f t="shared" si="114"/>
        <v>4713411</v>
      </c>
      <c r="Z92" s="78">
        <f t="shared" si="114"/>
        <v>0</v>
      </c>
      <c r="AA92" s="78">
        <f t="shared" si="114"/>
        <v>4713411</v>
      </c>
      <c r="AB92" s="78">
        <f t="shared" si="114"/>
        <v>0</v>
      </c>
      <c r="AC92" s="78">
        <f t="shared" si="114"/>
        <v>4713411</v>
      </c>
      <c r="AD92" s="78">
        <f aca="true" t="shared" si="115" ref="AD92:AI92">SUM(AD93:AD116)</f>
        <v>0</v>
      </c>
      <c r="AE92" s="78">
        <f t="shared" si="115"/>
        <v>4713411</v>
      </c>
      <c r="AF92" s="78">
        <f t="shared" si="115"/>
        <v>0</v>
      </c>
      <c r="AG92" s="78">
        <f t="shared" si="115"/>
        <v>4713411</v>
      </c>
      <c r="AH92" s="78">
        <f t="shared" si="115"/>
        <v>0</v>
      </c>
      <c r="AI92" s="78">
        <f t="shared" si="115"/>
        <v>4713411</v>
      </c>
      <c r="AJ92" s="78">
        <f>SUM(AJ93:AJ116)</f>
        <v>6021</v>
      </c>
      <c r="AK92" s="78">
        <f>SUM(AK93:AK116)</f>
        <v>4719432</v>
      </c>
      <c r="AL92" s="78">
        <f>SUM(AL93:AL116)</f>
        <v>8300</v>
      </c>
      <c r="AM92" s="78">
        <f>SUM(AM93:AM116)</f>
        <v>4727732</v>
      </c>
    </row>
    <row r="93" spans="1:39" s="23" customFormat="1" ht="21" customHeight="1">
      <c r="A93" s="83"/>
      <c r="B93" s="79"/>
      <c r="C93" s="64">
        <v>3020</v>
      </c>
      <c r="D93" s="37" t="s">
        <v>187</v>
      </c>
      <c r="E93" s="78">
        <v>27600</v>
      </c>
      <c r="F93" s="78"/>
      <c r="G93" s="78">
        <f>SUM(E93:F93)</f>
        <v>27600</v>
      </c>
      <c r="H93" s="78"/>
      <c r="I93" s="78">
        <f>SUM(G93:H93)</f>
        <v>27600</v>
      </c>
      <c r="J93" s="78"/>
      <c r="K93" s="78">
        <f>SUM(I93:J93)</f>
        <v>27600</v>
      </c>
      <c r="L93" s="78"/>
      <c r="M93" s="78">
        <f>SUM(K93:L93)</f>
        <v>27600</v>
      </c>
      <c r="N93" s="78"/>
      <c r="O93" s="78">
        <f>SUM(M93:N93)</f>
        <v>27600</v>
      </c>
      <c r="P93" s="78"/>
      <c r="Q93" s="78">
        <f>SUM(O93:P93)</f>
        <v>27600</v>
      </c>
      <c r="R93" s="78"/>
      <c r="S93" s="78">
        <f>SUM(Q93:R93)</f>
        <v>27600</v>
      </c>
      <c r="T93" s="78"/>
      <c r="U93" s="78">
        <f>SUM(S93:T93)</f>
        <v>27600</v>
      </c>
      <c r="V93" s="78"/>
      <c r="W93" s="78">
        <f>SUM(U93:V93)</f>
        <v>27600</v>
      </c>
      <c r="X93" s="78"/>
      <c r="Y93" s="78">
        <f>SUM(W93:X93)</f>
        <v>27600</v>
      </c>
      <c r="Z93" s="78"/>
      <c r="AA93" s="78">
        <f>SUM(Y93:Z93)</f>
        <v>27600</v>
      </c>
      <c r="AB93" s="78"/>
      <c r="AC93" s="78">
        <f>SUM(AA93:AB93)</f>
        <v>27600</v>
      </c>
      <c r="AD93" s="78">
        <v>-10000</v>
      </c>
      <c r="AE93" s="78">
        <f>SUM(AC93:AD93)</f>
        <v>17600</v>
      </c>
      <c r="AF93" s="78"/>
      <c r="AG93" s="78">
        <f>SUM(AE93:AF93)</f>
        <v>17600</v>
      </c>
      <c r="AH93" s="78"/>
      <c r="AI93" s="78">
        <f>SUM(AG93:AH93)</f>
        <v>17600</v>
      </c>
      <c r="AJ93" s="78"/>
      <c r="AK93" s="78">
        <f>SUM(AI93:AJ93)</f>
        <v>17600</v>
      </c>
      <c r="AL93" s="78"/>
      <c r="AM93" s="78">
        <f>SUM(AK93:AL93)</f>
        <v>17600</v>
      </c>
    </row>
    <row r="94" spans="1:42" s="23" customFormat="1" ht="21" customHeight="1">
      <c r="A94" s="83"/>
      <c r="B94" s="79"/>
      <c r="C94" s="64">
        <v>4010</v>
      </c>
      <c r="D94" s="37" t="s">
        <v>83</v>
      </c>
      <c r="E94" s="78">
        <v>3160586</v>
      </c>
      <c r="F94" s="78">
        <v>-200000</v>
      </c>
      <c r="G94" s="78">
        <f aca="true" t="shared" si="116" ref="G94:G116">SUM(E94:F94)</f>
        <v>2960586</v>
      </c>
      <c r="H94" s="78"/>
      <c r="I94" s="78">
        <f aca="true" t="shared" si="117" ref="I94:I113">SUM(G94:H94)</f>
        <v>2960586</v>
      </c>
      <c r="J94" s="78"/>
      <c r="K94" s="78">
        <f aca="true" t="shared" si="118" ref="K94:K113">SUM(I94:J94)</f>
        <v>2960586</v>
      </c>
      <c r="L94" s="78"/>
      <c r="M94" s="78">
        <f aca="true" t="shared" si="119" ref="M94:M113">SUM(K94:L94)</f>
        <v>2960586</v>
      </c>
      <c r="N94" s="78"/>
      <c r="O94" s="78">
        <f aca="true" t="shared" si="120" ref="O94:O113">SUM(M94:N94)</f>
        <v>2960586</v>
      </c>
      <c r="P94" s="78"/>
      <c r="Q94" s="78">
        <f aca="true" t="shared" si="121" ref="Q94:Q113">SUM(O94:P94)</f>
        <v>2960586</v>
      </c>
      <c r="R94" s="78"/>
      <c r="S94" s="78">
        <f aca="true" t="shared" si="122" ref="S94:S113">SUM(Q94:R94)</f>
        <v>2960586</v>
      </c>
      <c r="T94" s="78"/>
      <c r="U94" s="78">
        <f aca="true" t="shared" si="123" ref="U94:U113">SUM(S94:T94)</f>
        <v>2960586</v>
      </c>
      <c r="V94" s="78"/>
      <c r="W94" s="78">
        <f aca="true" t="shared" si="124" ref="W94:W113">SUM(U94:V94)</f>
        <v>2960586</v>
      </c>
      <c r="X94" s="78"/>
      <c r="Y94" s="78">
        <f aca="true" t="shared" si="125" ref="Y94:Y113">SUM(W94:X94)</f>
        <v>2960586</v>
      </c>
      <c r="Z94" s="78"/>
      <c r="AA94" s="78">
        <f aca="true" t="shared" si="126" ref="AA94:AA113">SUM(Y94:Z94)</f>
        <v>2960586</v>
      </c>
      <c r="AB94" s="78"/>
      <c r="AC94" s="78">
        <f aca="true" t="shared" si="127" ref="AC94:AC113">SUM(AA94:AB94)</f>
        <v>2960586</v>
      </c>
      <c r="AD94" s="78"/>
      <c r="AE94" s="78">
        <f aca="true" t="shared" si="128" ref="AE94:AE113">SUM(AC94:AD94)</f>
        <v>2960586</v>
      </c>
      <c r="AF94" s="78"/>
      <c r="AG94" s="78">
        <f aca="true" t="shared" si="129" ref="AG94:AG113">SUM(AE94:AF94)</f>
        <v>2960586</v>
      </c>
      <c r="AH94" s="78"/>
      <c r="AI94" s="78">
        <f aca="true" t="shared" si="130" ref="AI94:AI113">SUM(AG94:AH94)</f>
        <v>2960586</v>
      </c>
      <c r="AJ94" s="78"/>
      <c r="AK94" s="78">
        <f aca="true" t="shared" si="131" ref="AK94:AK113">SUM(AI94:AJ94)</f>
        <v>2960586</v>
      </c>
      <c r="AL94" s="78"/>
      <c r="AM94" s="78">
        <f aca="true" t="shared" si="132" ref="AM94:AM113">SUM(AK94:AL94)</f>
        <v>2960586</v>
      </c>
      <c r="AN94" s="113"/>
      <c r="AO94" s="113"/>
      <c r="AP94" s="113"/>
    </row>
    <row r="95" spans="1:42" s="23" customFormat="1" ht="21" customHeight="1">
      <c r="A95" s="83"/>
      <c r="B95" s="79"/>
      <c r="C95" s="64">
        <v>4040</v>
      </c>
      <c r="D95" s="37" t="s">
        <v>84</v>
      </c>
      <c r="E95" s="78">
        <v>203749</v>
      </c>
      <c r="F95" s="78"/>
      <c r="G95" s="78">
        <f t="shared" si="116"/>
        <v>203749</v>
      </c>
      <c r="H95" s="78"/>
      <c r="I95" s="78">
        <f t="shared" si="117"/>
        <v>203749</v>
      </c>
      <c r="J95" s="78">
        <v>-8000</v>
      </c>
      <c r="K95" s="78">
        <f t="shared" si="118"/>
        <v>195749</v>
      </c>
      <c r="L95" s="78">
        <v>-7434</v>
      </c>
      <c r="M95" s="78">
        <f t="shared" si="119"/>
        <v>188315</v>
      </c>
      <c r="N95" s="78"/>
      <c r="O95" s="78">
        <f t="shared" si="120"/>
        <v>188315</v>
      </c>
      <c r="P95" s="78"/>
      <c r="Q95" s="78">
        <f t="shared" si="121"/>
        <v>188315</v>
      </c>
      <c r="R95" s="78"/>
      <c r="S95" s="78">
        <f t="shared" si="122"/>
        <v>188315</v>
      </c>
      <c r="T95" s="78"/>
      <c r="U95" s="78">
        <f t="shared" si="123"/>
        <v>188315</v>
      </c>
      <c r="V95" s="78"/>
      <c r="W95" s="78">
        <f t="shared" si="124"/>
        <v>188315</v>
      </c>
      <c r="X95" s="78"/>
      <c r="Y95" s="78">
        <f t="shared" si="125"/>
        <v>188315</v>
      </c>
      <c r="Z95" s="78"/>
      <c r="AA95" s="78">
        <f t="shared" si="126"/>
        <v>188315</v>
      </c>
      <c r="AB95" s="78"/>
      <c r="AC95" s="78">
        <f t="shared" si="127"/>
        <v>188315</v>
      </c>
      <c r="AD95" s="78"/>
      <c r="AE95" s="78">
        <f t="shared" si="128"/>
        <v>188315</v>
      </c>
      <c r="AF95" s="78"/>
      <c r="AG95" s="78">
        <f t="shared" si="129"/>
        <v>188315</v>
      </c>
      <c r="AH95" s="78"/>
      <c r="AI95" s="78">
        <f t="shared" si="130"/>
        <v>188315</v>
      </c>
      <c r="AJ95" s="78"/>
      <c r="AK95" s="78">
        <f t="shared" si="131"/>
        <v>188315</v>
      </c>
      <c r="AL95" s="78"/>
      <c r="AM95" s="78">
        <f t="shared" si="132"/>
        <v>188315</v>
      </c>
      <c r="AN95" s="113"/>
      <c r="AO95" s="113"/>
      <c r="AP95" s="113"/>
    </row>
    <row r="96" spans="1:42" s="23" customFormat="1" ht="21" customHeight="1">
      <c r="A96" s="83"/>
      <c r="B96" s="79"/>
      <c r="C96" s="64">
        <v>4110</v>
      </c>
      <c r="D96" s="37" t="s">
        <v>85</v>
      </c>
      <c r="E96" s="78">
        <v>496390</v>
      </c>
      <c r="F96" s="78"/>
      <c r="G96" s="78">
        <f t="shared" si="116"/>
        <v>496390</v>
      </c>
      <c r="H96" s="78"/>
      <c r="I96" s="78">
        <f t="shared" si="117"/>
        <v>496390</v>
      </c>
      <c r="J96" s="78"/>
      <c r="K96" s="78">
        <f t="shared" si="118"/>
        <v>496390</v>
      </c>
      <c r="L96" s="78">
        <v>-5055</v>
      </c>
      <c r="M96" s="78">
        <f t="shared" si="119"/>
        <v>491335</v>
      </c>
      <c r="N96" s="78"/>
      <c r="O96" s="78">
        <f t="shared" si="120"/>
        <v>491335</v>
      </c>
      <c r="P96" s="78"/>
      <c r="Q96" s="78">
        <f t="shared" si="121"/>
        <v>491335</v>
      </c>
      <c r="R96" s="78">
        <v>-600</v>
      </c>
      <c r="S96" s="78">
        <f t="shared" si="122"/>
        <v>490735</v>
      </c>
      <c r="T96" s="78"/>
      <c r="U96" s="78">
        <f t="shared" si="123"/>
        <v>490735</v>
      </c>
      <c r="V96" s="78"/>
      <c r="W96" s="78">
        <f t="shared" si="124"/>
        <v>490735</v>
      </c>
      <c r="X96" s="78"/>
      <c r="Y96" s="78">
        <f t="shared" si="125"/>
        <v>490735</v>
      </c>
      <c r="Z96" s="78"/>
      <c r="AA96" s="78">
        <f t="shared" si="126"/>
        <v>490735</v>
      </c>
      <c r="AB96" s="78"/>
      <c r="AC96" s="78">
        <f t="shared" si="127"/>
        <v>490735</v>
      </c>
      <c r="AD96" s="78"/>
      <c r="AE96" s="78">
        <f t="shared" si="128"/>
        <v>490735</v>
      </c>
      <c r="AF96" s="78"/>
      <c r="AG96" s="78">
        <f t="shared" si="129"/>
        <v>490735</v>
      </c>
      <c r="AH96" s="78"/>
      <c r="AI96" s="78">
        <f t="shared" si="130"/>
        <v>490735</v>
      </c>
      <c r="AJ96" s="78"/>
      <c r="AK96" s="78">
        <f t="shared" si="131"/>
        <v>490735</v>
      </c>
      <c r="AL96" s="78">
        <v>-2100</v>
      </c>
      <c r="AM96" s="78">
        <f t="shared" si="132"/>
        <v>488635</v>
      </c>
      <c r="AN96" s="113"/>
      <c r="AO96" s="113"/>
      <c r="AP96" s="113"/>
    </row>
    <row r="97" spans="1:42" s="23" customFormat="1" ht="21" customHeight="1">
      <c r="A97" s="83"/>
      <c r="B97" s="79"/>
      <c r="C97" s="64">
        <v>4120</v>
      </c>
      <c r="D97" s="37" t="s">
        <v>86</v>
      </c>
      <c r="E97" s="78">
        <v>92714</v>
      </c>
      <c r="F97" s="78"/>
      <c r="G97" s="78">
        <f t="shared" si="116"/>
        <v>92714</v>
      </c>
      <c r="H97" s="78"/>
      <c r="I97" s="78">
        <f t="shared" si="117"/>
        <v>92714</v>
      </c>
      <c r="J97" s="78"/>
      <c r="K97" s="78">
        <f t="shared" si="118"/>
        <v>92714</v>
      </c>
      <c r="L97" s="78">
        <v>-9000</v>
      </c>
      <c r="M97" s="78">
        <f t="shared" si="119"/>
        <v>83714</v>
      </c>
      <c r="N97" s="78"/>
      <c r="O97" s="78">
        <f t="shared" si="120"/>
        <v>83714</v>
      </c>
      <c r="P97" s="78"/>
      <c r="Q97" s="78">
        <f t="shared" si="121"/>
        <v>83714</v>
      </c>
      <c r="R97" s="78"/>
      <c r="S97" s="78">
        <f t="shared" si="122"/>
        <v>83714</v>
      </c>
      <c r="T97" s="78"/>
      <c r="U97" s="78">
        <f t="shared" si="123"/>
        <v>83714</v>
      </c>
      <c r="V97" s="78"/>
      <c r="W97" s="78">
        <f t="shared" si="124"/>
        <v>83714</v>
      </c>
      <c r="X97" s="78"/>
      <c r="Y97" s="78">
        <f t="shared" si="125"/>
        <v>83714</v>
      </c>
      <c r="Z97" s="78"/>
      <c r="AA97" s="78">
        <f t="shared" si="126"/>
        <v>83714</v>
      </c>
      <c r="AB97" s="78"/>
      <c r="AC97" s="78">
        <f t="shared" si="127"/>
        <v>83714</v>
      </c>
      <c r="AD97" s="78"/>
      <c r="AE97" s="78">
        <f t="shared" si="128"/>
        <v>83714</v>
      </c>
      <c r="AF97" s="78"/>
      <c r="AG97" s="78">
        <f t="shared" si="129"/>
        <v>83714</v>
      </c>
      <c r="AH97" s="78"/>
      <c r="AI97" s="78">
        <f t="shared" si="130"/>
        <v>83714</v>
      </c>
      <c r="AJ97" s="78"/>
      <c r="AK97" s="78">
        <f t="shared" si="131"/>
        <v>83714</v>
      </c>
      <c r="AL97" s="78"/>
      <c r="AM97" s="78">
        <f t="shared" si="132"/>
        <v>83714</v>
      </c>
      <c r="AN97" s="113"/>
      <c r="AO97" s="113"/>
      <c r="AP97" s="113"/>
    </row>
    <row r="98" spans="1:42" s="23" customFormat="1" ht="21" customHeight="1">
      <c r="A98" s="83"/>
      <c r="B98" s="79"/>
      <c r="C98" s="64">
        <v>4170</v>
      </c>
      <c r="D98" s="37" t="s">
        <v>189</v>
      </c>
      <c r="E98" s="78">
        <v>23200</v>
      </c>
      <c r="F98" s="78"/>
      <c r="G98" s="78">
        <f t="shared" si="116"/>
        <v>23200</v>
      </c>
      <c r="H98" s="78"/>
      <c r="I98" s="78">
        <f t="shared" si="117"/>
        <v>23200</v>
      </c>
      <c r="J98" s="78">
        <v>8000</v>
      </c>
      <c r="K98" s="78">
        <f t="shared" si="118"/>
        <v>31200</v>
      </c>
      <c r="L98" s="78">
        <v>3600</v>
      </c>
      <c r="M98" s="78">
        <f t="shared" si="119"/>
        <v>34800</v>
      </c>
      <c r="N98" s="78"/>
      <c r="O98" s="78">
        <f t="shared" si="120"/>
        <v>34800</v>
      </c>
      <c r="P98" s="78"/>
      <c r="Q98" s="78">
        <f t="shared" si="121"/>
        <v>34800</v>
      </c>
      <c r="R98" s="78">
        <v>432</v>
      </c>
      <c r="S98" s="78">
        <f t="shared" si="122"/>
        <v>35232</v>
      </c>
      <c r="T98" s="78"/>
      <c r="U98" s="78">
        <f t="shared" si="123"/>
        <v>35232</v>
      </c>
      <c r="V98" s="78"/>
      <c r="W98" s="78">
        <f t="shared" si="124"/>
        <v>35232</v>
      </c>
      <c r="X98" s="78"/>
      <c r="Y98" s="78">
        <f t="shared" si="125"/>
        <v>35232</v>
      </c>
      <c r="Z98" s="78"/>
      <c r="AA98" s="78">
        <f t="shared" si="126"/>
        <v>35232</v>
      </c>
      <c r="AB98" s="78"/>
      <c r="AC98" s="78">
        <f t="shared" si="127"/>
        <v>35232</v>
      </c>
      <c r="AD98" s="78"/>
      <c r="AE98" s="78">
        <f t="shared" si="128"/>
        <v>35232</v>
      </c>
      <c r="AF98" s="78"/>
      <c r="AG98" s="78">
        <f t="shared" si="129"/>
        <v>35232</v>
      </c>
      <c r="AH98" s="78"/>
      <c r="AI98" s="78">
        <f t="shared" si="130"/>
        <v>35232</v>
      </c>
      <c r="AJ98" s="78">
        <v>5000</v>
      </c>
      <c r="AK98" s="78">
        <f t="shared" si="131"/>
        <v>40232</v>
      </c>
      <c r="AL98" s="78">
        <v>2100</v>
      </c>
      <c r="AM98" s="78">
        <f t="shared" si="132"/>
        <v>42332</v>
      </c>
      <c r="AN98" s="113"/>
      <c r="AO98" s="113"/>
      <c r="AP98" s="113"/>
    </row>
    <row r="99" spans="1:39" s="23" customFormat="1" ht="21" customHeight="1">
      <c r="A99" s="83"/>
      <c r="B99" s="79"/>
      <c r="C99" s="64">
        <v>4210</v>
      </c>
      <c r="D99" s="37" t="s">
        <v>91</v>
      </c>
      <c r="E99" s="78">
        <v>107373</v>
      </c>
      <c r="F99" s="78"/>
      <c r="G99" s="78">
        <f t="shared" si="116"/>
        <v>107373</v>
      </c>
      <c r="H99" s="78"/>
      <c r="I99" s="78">
        <f t="shared" si="117"/>
        <v>107373</v>
      </c>
      <c r="J99" s="78">
        <v>3000</v>
      </c>
      <c r="K99" s="78">
        <f t="shared" si="118"/>
        <v>110373</v>
      </c>
      <c r="L99" s="78">
        <v>-13000</v>
      </c>
      <c r="M99" s="78">
        <f t="shared" si="119"/>
        <v>97373</v>
      </c>
      <c r="N99" s="78"/>
      <c r="O99" s="78">
        <f t="shared" si="120"/>
        <v>97373</v>
      </c>
      <c r="P99" s="78">
        <v>3500</v>
      </c>
      <c r="Q99" s="78">
        <f t="shared" si="121"/>
        <v>100873</v>
      </c>
      <c r="R99" s="78">
        <v>9000</v>
      </c>
      <c r="S99" s="78">
        <f t="shared" si="122"/>
        <v>109873</v>
      </c>
      <c r="T99" s="78"/>
      <c r="U99" s="78">
        <f t="shared" si="123"/>
        <v>109873</v>
      </c>
      <c r="V99" s="78"/>
      <c r="W99" s="78">
        <f t="shared" si="124"/>
        <v>109873</v>
      </c>
      <c r="X99" s="78"/>
      <c r="Y99" s="78">
        <f t="shared" si="125"/>
        <v>109873</v>
      </c>
      <c r="Z99" s="78"/>
      <c r="AA99" s="78">
        <f t="shared" si="126"/>
        <v>109873</v>
      </c>
      <c r="AB99" s="78"/>
      <c r="AC99" s="78">
        <f t="shared" si="127"/>
        <v>109873</v>
      </c>
      <c r="AD99" s="78">
        <v>-2200</v>
      </c>
      <c r="AE99" s="78">
        <f t="shared" si="128"/>
        <v>107673</v>
      </c>
      <c r="AF99" s="78"/>
      <c r="AG99" s="78">
        <f t="shared" si="129"/>
        <v>107673</v>
      </c>
      <c r="AH99" s="78">
        <v>10000</v>
      </c>
      <c r="AI99" s="78">
        <f t="shared" si="130"/>
        <v>117673</v>
      </c>
      <c r="AJ99" s="78">
        <v>4000</v>
      </c>
      <c r="AK99" s="78">
        <f t="shared" si="131"/>
        <v>121673</v>
      </c>
      <c r="AL99" s="78">
        <v>7500</v>
      </c>
      <c r="AM99" s="78">
        <f t="shared" si="132"/>
        <v>129173</v>
      </c>
    </row>
    <row r="100" spans="1:39" s="23" customFormat="1" ht="21" customHeight="1">
      <c r="A100" s="83"/>
      <c r="B100" s="79"/>
      <c r="C100" s="64">
        <v>4260</v>
      </c>
      <c r="D100" s="37" t="s">
        <v>94</v>
      </c>
      <c r="E100" s="78">
        <v>102000</v>
      </c>
      <c r="F100" s="78"/>
      <c r="G100" s="78">
        <f t="shared" si="116"/>
        <v>102000</v>
      </c>
      <c r="H100" s="78"/>
      <c r="I100" s="78">
        <f t="shared" si="117"/>
        <v>102000</v>
      </c>
      <c r="J100" s="78"/>
      <c r="K100" s="78">
        <f t="shared" si="118"/>
        <v>102000</v>
      </c>
      <c r="L100" s="78"/>
      <c r="M100" s="78">
        <f t="shared" si="119"/>
        <v>102000</v>
      </c>
      <c r="N100" s="78"/>
      <c r="O100" s="78">
        <f t="shared" si="120"/>
        <v>102000</v>
      </c>
      <c r="P100" s="78"/>
      <c r="Q100" s="78">
        <f t="shared" si="121"/>
        <v>102000</v>
      </c>
      <c r="R100" s="78"/>
      <c r="S100" s="78">
        <f t="shared" si="122"/>
        <v>102000</v>
      </c>
      <c r="T100" s="78"/>
      <c r="U100" s="78">
        <f t="shared" si="123"/>
        <v>102000</v>
      </c>
      <c r="V100" s="78"/>
      <c r="W100" s="78">
        <f t="shared" si="124"/>
        <v>102000</v>
      </c>
      <c r="X100" s="78"/>
      <c r="Y100" s="78">
        <f t="shared" si="125"/>
        <v>102000</v>
      </c>
      <c r="Z100" s="78"/>
      <c r="AA100" s="78">
        <f t="shared" si="126"/>
        <v>102000</v>
      </c>
      <c r="AB100" s="78"/>
      <c r="AC100" s="78">
        <f t="shared" si="127"/>
        <v>102000</v>
      </c>
      <c r="AD100" s="78"/>
      <c r="AE100" s="78">
        <f t="shared" si="128"/>
        <v>102000</v>
      </c>
      <c r="AF100" s="78"/>
      <c r="AG100" s="78">
        <f t="shared" si="129"/>
        <v>102000</v>
      </c>
      <c r="AH100" s="78"/>
      <c r="AI100" s="78">
        <f t="shared" si="130"/>
        <v>102000</v>
      </c>
      <c r="AJ100" s="78"/>
      <c r="AK100" s="78">
        <f t="shared" si="131"/>
        <v>102000</v>
      </c>
      <c r="AL100" s="78">
        <v>2000</v>
      </c>
      <c r="AM100" s="78">
        <f t="shared" si="132"/>
        <v>104000</v>
      </c>
    </row>
    <row r="101" spans="1:39" s="23" customFormat="1" ht="21" customHeight="1">
      <c r="A101" s="83"/>
      <c r="B101" s="79"/>
      <c r="C101" s="64">
        <v>4270</v>
      </c>
      <c r="D101" s="37" t="s">
        <v>77</v>
      </c>
      <c r="E101" s="78">
        <v>109000</v>
      </c>
      <c r="F101" s="78">
        <v>-50000</v>
      </c>
      <c r="G101" s="78">
        <f t="shared" si="116"/>
        <v>59000</v>
      </c>
      <c r="H101" s="78"/>
      <c r="I101" s="78">
        <f t="shared" si="117"/>
        <v>59000</v>
      </c>
      <c r="J101" s="78"/>
      <c r="K101" s="78">
        <f t="shared" si="118"/>
        <v>59000</v>
      </c>
      <c r="L101" s="78"/>
      <c r="M101" s="78">
        <f t="shared" si="119"/>
        <v>59000</v>
      </c>
      <c r="N101" s="78"/>
      <c r="O101" s="78">
        <f t="shared" si="120"/>
        <v>59000</v>
      </c>
      <c r="P101" s="78">
        <v>1000</v>
      </c>
      <c r="Q101" s="78">
        <f t="shared" si="121"/>
        <v>60000</v>
      </c>
      <c r="R101" s="78"/>
      <c r="S101" s="78">
        <f t="shared" si="122"/>
        <v>60000</v>
      </c>
      <c r="T101" s="78"/>
      <c r="U101" s="78">
        <f t="shared" si="123"/>
        <v>60000</v>
      </c>
      <c r="V101" s="78"/>
      <c r="W101" s="78">
        <f t="shared" si="124"/>
        <v>60000</v>
      </c>
      <c r="X101" s="78"/>
      <c r="Y101" s="78">
        <f t="shared" si="125"/>
        <v>60000</v>
      </c>
      <c r="Z101" s="78"/>
      <c r="AA101" s="78">
        <f t="shared" si="126"/>
        <v>60000</v>
      </c>
      <c r="AB101" s="78"/>
      <c r="AC101" s="78">
        <f t="shared" si="127"/>
        <v>60000</v>
      </c>
      <c r="AD101" s="78"/>
      <c r="AE101" s="78">
        <f t="shared" si="128"/>
        <v>60000</v>
      </c>
      <c r="AF101" s="78"/>
      <c r="AG101" s="78">
        <f t="shared" si="129"/>
        <v>60000</v>
      </c>
      <c r="AH101" s="78"/>
      <c r="AI101" s="78">
        <f t="shared" si="130"/>
        <v>60000</v>
      </c>
      <c r="AJ101" s="78"/>
      <c r="AK101" s="78">
        <f t="shared" si="131"/>
        <v>60000</v>
      </c>
      <c r="AL101" s="78"/>
      <c r="AM101" s="78">
        <f t="shared" si="132"/>
        <v>60000</v>
      </c>
    </row>
    <row r="102" spans="1:39" s="23" customFormat="1" ht="21" customHeight="1">
      <c r="A102" s="83"/>
      <c r="B102" s="79"/>
      <c r="C102" s="64">
        <v>4280</v>
      </c>
      <c r="D102" s="37" t="s">
        <v>216</v>
      </c>
      <c r="E102" s="78">
        <v>10200</v>
      </c>
      <c r="F102" s="78"/>
      <c r="G102" s="78">
        <f t="shared" si="116"/>
        <v>10200</v>
      </c>
      <c r="H102" s="78"/>
      <c r="I102" s="78">
        <f t="shared" si="117"/>
        <v>10200</v>
      </c>
      <c r="J102" s="78"/>
      <c r="K102" s="78">
        <f t="shared" si="118"/>
        <v>10200</v>
      </c>
      <c r="L102" s="78"/>
      <c r="M102" s="78">
        <f t="shared" si="119"/>
        <v>10200</v>
      </c>
      <c r="N102" s="78"/>
      <c r="O102" s="78">
        <f t="shared" si="120"/>
        <v>10200</v>
      </c>
      <c r="P102" s="78"/>
      <c r="Q102" s="78">
        <f t="shared" si="121"/>
        <v>10200</v>
      </c>
      <c r="R102" s="78"/>
      <c r="S102" s="78">
        <f t="shared" si="122"/>
        <v>10200</v>
      </c>
      <c r="T102" s="78"/>
      <c r="U102" s="78">
        <f t="shared" si="123"/>
        <v>10200</v>
      </c>
      <c r="V102" s="78"/>
      <c r="W102" s="78">
        <f t="shared" si="124"/>
        <v>10200</v>
      </c>
      <c r="X102" s="78"/>
      <c r="Y102" s="78">
        <f t="shared" si="125"/>
        <v>10200</v>
      </c>
      <c r="Z102" s="78"/>
      <c r="AA102" s="78">
        <f t="shared" si="126"/>
        <v>10200</v>
      </c>
      <c r="AB102" s="78"/>
      <c r="AC102" s="78">
        <f t="shared" si="127"/>
        <v>10200</v>
      </c>
      <c r="AD102" s="78"/>
      <c r="AE102" s="78">
        <f t="shared" si="128"/>
        <v>10200</v>
      </c>
      <c r="AF102" s="78"/>
      <c r="AG102" s="78">
        <f t="shared" si="129"/>
        <v>10200</v>
      </c>
      <c r="AH102" s="78"/>
      <c r="AI102" s="78">
        <f t="shared" si="130"/>
        <v>10200</v>
      </c>
      <c r="AJ102" s="78"/>
      <c r="AK102" s="78">
        <f t="shared" si="131"/>
        <v>10200</v>
      </c>
      <c r="AL102" s="78"/>
      <c r="AM102" s="78">
        <f t="shared" si="132"/>
        <v>10200</v>
      </c>
    </row>
    <row r="103" spans="1:39" s="23" customFormat="1" ht="21" customHeight="1">
      <c r="A103" s="83"/>
      <c r="B103" s="79"/>
      <c r="C103" s="64">
        <v>4300</v>
      </c>
      <c r="D103" s="37" t="s">
        <v>78</v>
      </c>
      <c r="E103" s="78">
        <v>168000</v>
      </c>
      <c r="F103" s="78"/>
      <c r="G103" s="78">
        <f t="shared" si="116"/>
        <v>168000</v>
      </c>
      <c r="H103" s="78"/>
      <c r="I103" s="78">
        <f t="shared" si="117"/>
        <v>168000</v>
      </c>
      <c r="J103" s="78">
        <v>14000</v>
      </c>
      <c r="K103" s="78">
        <f t="shared" si="118"/>
        <v>182000</v>
      </c>
      <c r="L103" s="78">
        <v>30000</v>
      </c>
      <c r="M103" s="78">
        <f t="shared" si="119"/>
        <v>212000</v>
      </c>
      <c r="N103" s="78"/>
      <c r="O103" s="78">
        <f t="shared" si="120"/>
        <v>212000</v>
      </c>
      <c r="P103" s="78">
        <v>-11500</v>
      </c>
      <c r="Q103" s="78">
        <f t="shared" si="121"/>
        <v>200500</v>
      </c>
      <c r="R103" s="78"/>
      <c r="S103" s="78">
        <f t="shared" si="122"/>
        <v>200500</v>
      </c>
      <c r="T103" s="78"/>
      <c r="U103" s="78">
        <f t="shared" si="123"/>
        <v>200500</v>
      </c>
      <c r="V103" s="78"/>
      <c r="W103" s="78">
        <f t="shared" si="124"/>
        <v>200500</v>
      </c>
      <c r="X103" s="78">
        <v>-350</v>
      </c>
      <c r="Y103" s="78">
        <f t="shared" si="125"/>
        <v>200150</v>
      </c>
      <c r="Z103" s="78"/>
      <c r="AA103" s="78">
        <f t="shared" si="126"/>
        <v>200150</v>
      </c>
      <c r="AB103" s="78"/>
      <c r="AC103" s="78">
        <f t="shared" si="127"/>
        <v>200150</v>
      </c>
      <c r="AD103" s="78">
        <v>10000</v>
      </c>
      <c r="AE103" s="78">
        <f t="shared" si="128"/>
        <v>210150</v>
      </c>
      <c r="AF103" s="78"/>
      <c r="AG103" s="78">
        <f t="shared" si="129"/>
        <v>210150</v>
      </c>
      <c r="AH103" s="78">
        <v>-18000</v>
      </c>
      <c r="AI103" s="78">
        <f t="shared" si="130"/>
        <v>192150</v>
      </c>
      <c r="AJ103" s="78">
        <v>10000</v>
      </c>
      <c r="AK103" s="78">
        <f t="shared" si="131"/>
        <v>202150</v>
      </c>
      <c r="AL103" s="78">
        <v>9700</v>
      </c>
      <c r="AM103" s="78">
        <f t="shared" si="132"/>
        <v>211850</v>
      </c>
    </row>
    <row r="104" spans="1:39" s="23" customFormat="1" ht="21" customHeight="1">
      <c r="A104" s="83"/>
      <c r="B104" s="79"/>
      <c r="C104" s="64">
        <v>4350</v>
      </c>
      <c r="D104" s="37" t="s">
        <v>204</v>
      </c>
      <c r="E104" s="78">
        <v>14500</v>
      </c>
      <c r="F104" s="78"/>
      <c r="G104" s="78">
        <f t="shared" si="116"/>
        <v>14500</v>
      </c>
      <c r="H104" s="78"/>
      <c r="I104" s="78">
        <f t="shared" si="117"/>
        <v>14500</v>
      </c>
      <c r="J104" s="78"/>
      <c r="K104" s="78">
        <f t="shared" si="118"/>
        <v>14500</v>
      </c>
      <c r="L104" s="78"/>
      <c r="M104" s="78">
        <f t="shared" si="119"/>
        <v>14500</v>
      </c>
      <c r="N104" s="78"/>
      <c r="O104" s="78">
        <f t="shared" si="120"/>
        <v>14500</v>
      </c>
      <c r="P104" s="78"/>
      <c r="Q104" s="78">
        <f t="shared" si="121"/>
        <v>14500</v>
      </c>
      <c r="R104" s="78"/>
      <c r="S104" s="78">
        <f t="shared" si="122"/>
        <v>14500</v>
      </c>
      <c r="T104" s="78"/>
      <c r="U104" s="78">
        <f t="shared" si="123"/>
        <v>14500</v>
      </c>
      <c r="V104" s="78"/>
      <c r="W104" s="78">
        <f t="shared" si="124"/>
        <v>14500</v>
      </c>
      <c r="X104" s="78"/>
      <c r="Y104" s="78">
        <f t="shared" si="125"/>
        <v>14500</v>
      </c>
      <c r="Z104" s="78"/>
      <c r="AA104" s="78">
        <f t="shared" si="126"/>
        <v>14500</v>
      </c>
      <c r="AB104" s="78"/>
      <c r="AC104" s="78">
        <f t="shared" si="127"/>
        <v>14500</v>
      </c>
      <c r="AD104" s="78"/>
      <c r="AE104" s="78">
        <f t="shared" si="128"/>
        <v>14500</v>
      </c>
      <c r="AF104" s="78"/>
      <c r="AG104" s="78">
        <f t="shared" si="129"/>
        <v>14500</v>
      </c>
      <c r="AH104" s="78"/>
      <c r="AI104" s="78">
        <f t="shared" si="130"/>
        <v>14500</v>
      </c>
      <c r="AJ104" s="78"/>
      <c r="AK104" s="78">
        <f t="shared" si="131"/>
        <v>14500</v>
      </c>
      <c r="AL104" s="78">
        <v>2000</v>
      </c>
      <c r="AM104" s="78">
        <f t="shared" si="132"/>
        <v>16500</v>
      </c>
    </row>
    <row r="105" spans="1:39" s="23" customFormat="1" ht="38.25" customHeight="1">
      <c r="A105" s="83"/>
      <c r="B105" s="79"/>
      <c r="C105" s="64">
        <v>4360</v>
      </c>
      <c r="D105" s="37" t="s">
        <v>363</v>
      </c>
      <c r="E105" s="78">
        <v>26000</v>
      </c>
      <c r="F105" s="78"/>
      <c r="G105" s="78">
        <f t="shared" si="116"/>
        <v>26000</v>
      </c>
      <c r="H105" s="78"/>
      <c r="I105" s="78">
        <f t="shared" si="117"/>
        <v>26000</v>
      </c>
      <c r="J105" s="78"/>
      <c r="K105" s="78">
        <f t="shared" si="118"/>
        <v>26000</v>
      </c>
      <c r="L105" s="78"/>
      <c r="M105" s="78">
        <f t="shared" si="119"/>
        <v>26000</v>
      </c>
      <c r="N105" s="78">
        <v>-500</v>
      </c>
      <c r="O105" s="78">
        <f t="shared" si="120"/>
        <v>25500</v>
      </c>
      <c r="P105" s="78">
        <v>-3000</v>
      </c>
      <c r="Q105" s="78">
        <f t="shared" si="121"/>
        <v>22500</v>
      </c>
      <c r="R105" s="78"/>
      <c r="S105" s="78">
        <f t="shared" si="122"/>
        <v>22500</v>
      </c>
      <c r="T105" s="78"/>
      <c r="U105" s="78">
        <f t="shared" si="123"/>
        <v>22500</v>
      </c>
      <c r="V105" s="78"/>
      <c r="W105" s="78">
        <f t="shared" si="124"/>
        <v>22500</v>
      </c>
      <c r="X105" s="78"/>
      <c r="Y105" s="78">
        <f t="shared" si="125"/>
        <v>22500</v>
      </c>
      <c r="Z105" s="78"/>
      <c r="AA105" s="78">
        <f t="shared" si="126"/>
        <v>22500</v>
      </c>
      <c r="AB105" s="78"/>
      <c r="AC105" s="78">
        <f t="shared" si="127"/>
        <v>22500</v>
      </c>
      <c r="AD105" s="78"/>
      <c r="AE105" s="78">
        <f t="shared" si="128"/>
        <v>22500</v>
      </c>
      <c r="AF105" s="78"/>
      <c r="AG105" s="78">
        <f t="shared" si="129"/>
        <v>22500</v>
      </c>
      <c r="AH105" s="78"/>
      <c r="AI105" s="78">
        <f t="shared" si="130"/>
        <v>22500</v>
      </c>
      <c r="AJ105" s="78"/>
      <c r="AK105" s="78">
        <f t="shared" si="131"/>
        <v>22500</v>
      </c>
      <c r="AL105" s="78"/>
      <c r="AM105" s="78">
        <f t="shared" si="132"/>
        <v>22500</v>
      </c>
    </row>
    <row r="106" spans="1:39" s="23" customFormat="1" ht="36">
      <c r="A106" s="83"/>
      <c r="B106" s="79"/>
      <c r="C106" s="64">
        <v>4370</v>
      </c>
      <c r="D106" s="37" t="s">
        <v>362</v>
      </c>
      <c r="E106" s="78">
        <v>28500</v>
      </c>
      <c r="F106" s="78"/>
      <c r="G106" s="78">
        <f t="shared" si="116"/>
        <v>28500</v>
      </c>
      <c r="H106" s="78"/>
      <c r="I106" s="78">
        <f t="shared" si="117"/>
        <v>28500</v>
      </c>
      <c r="J106" s="78"/>
      <c r="K106" s="78">
        <f t="shared" si="118"/>
        <v>28500</v>
      </c>
      <c r="L106" s="78"/>
      <c r="M106" s="78">
        <f t="shared" si="119"/>
        <v>28500</v>
      </c>
      <c r="N106" s="78"/>
      <c r="O106" s="78">
        <f t="shared" si="120"/>
        <v>28500</v>
      </c>
      <c r="P106" s="78"/>
      <c r="Q106" s="78">
        <f t="shared" si="121"/>
        <v>28500</v>
      </c>
      <c r="R106" s="78"/>
      <c r="S106" s="78">
        <f t="shared" si="122"/>
        <v>28500</v>
      </c>
      <c r="T106" s="78"/>
      <c r="U106" s="78">
        <f t="shared" si="123"/>
        <v>28500</v>
      </c>
      <c r="V106" s="78"/>
      <c r="W106" s="78">
        <f t="shared" si="124"/>
        <v>28500</v>
      </c>
      <c r="X106" s="78"/>
      <c r="Y106" s="78">
        <f t="shared" si="125"/>
        <v>28500</v>
      </c>
      <c r="Z106" s="78"/>
      <c r="AA106" s="78">
        <f t="shared" si="126"/>
        <v>28500</v>
      </c>
      <c r="AB106" s="78"/>
      <c r="AC106" s="78">
        <f t="shared" si="127"/>
        <v>28500</v>
      </c>
      <c r="AD106" s="78"/>
      <c r="AE106" s="78">
        <f t="shared" si="128"/>
        <v>28500</v>
      </c>
      <c r="AF106" s="78"/>
      <c r="AG106" s="78">
        <f t="shared" si="129"/>
        <v>28500</v>
      </c>
      <c r="AH106" s="78"/>
      <c r="AI106" s="78">
        <f t="shared" si="130"/>
        <v>28500</v>
      </c>
      <c r="AJ106" s="78"/>
      <c r="AK106" s="78">
        <f t="shared" si="131"/>
        <v>28500</v>
      </c>
      <c r="AL106" s="78"/>
      <c r="AM106" s="78">
        <f t="shared" si="132"/>
        <v>28500</v>
      </c>
    </row>
    <row r="107" spans="1:39" s="23" customFormat="1" ht="21.75" customHeight="1">
      <c r="A107" s="83"/>
      <c r="B107" s="79"/>
      <c r="C107" s="64">
        <v>4410</v>
      </c>
      <c r="D107" s="37" t="s">
        <v>89</v>
      </c>
      <c r="E107" s="78">
        <v>55000</v>
      </c>
      <c r="F107" s="78">
        <v>-20000</v>
      </c>
      <c r="G107" s="78">
        <f t="shared" si="116"/>
        <v>35000</v>
      </c>
      <c r="H107" s="78"/>
      <c r="I107" s="78">
        <f t="shared" si="117"/>
        <v>35000</v>
      </c>
      <c r="J107" s="78"/>
      <c r="K107" s="78">
        <f t="shared" si="118"/>
        <v>35000</v>
      </c>
      <c r="L107" s="78"/>
      <c r="M107" s="78">
        <f t="shared" si="119"/>
        <v>35000</v>
      </c>
      <c r="N107" s="78"/>
      <c r="O107" s="78">
        <f t="shared" si="120"/>
        <v>35000</v>
      </c>
      <c r="P107" s="78">
        <v>8000</v>
      </c>
      <c r="Q107" s="78">
        <f t="shared" si="121"/>
        <v>43000</v>
      </c>
      <c r="R107" s="78"/>
      <c r="S107" s="78">
        <f t="shared" si="122"/>
        <v>43000</v>
      </c>
      <c r="T107" s="78"/>
      <c r="U107" s="78">
        <f t="shared" si="123"/>
        <v>43000</v>
      </c>
      <c r="V107" s="78"/>
      <c r="W107" s="78">
        <f t="shared" si="124"/>
        <v>43000</v>
      </c>
      <c r="X107" s="78"/>
      <c r="Y107" s="78">
        <f t="shared" si="125"/>
        <v>43000</v>
      </c>
      <c r="Z107" s="78"/>
      <c r="AA107" s="78">
        <f t="shared" si="126"/>
        <v>43000</v>
      </c>
      <c r="AB107" s="78"/>
      <c r="AC107" s="78">
        <f t="shared" si="127"/>
        <v>43000</v>
      </c>
      <c r="AD107" s="78"/>
      <c r="AE107" s="78">
        <f t="shared" si="128"/>
        <v>43000</v>
      </c>
      <c r="AF107" s="78"/>
      <c r="AG107" s="78">
        <f t="shared" si="129"/>
        <v>43000</v>
      </c>
      <c r="AH107" s="78">
        <v>15000</v>
      </c>
      <c r="AI107" s="78">
        <f t="shared" si="130"/>
        <v>58000</v>
      </c>
      <c r="AJ107" s="78"/>
      <c r="AK107" s="78">
        <f t="shared" si="131"/>
        <v>58000</v>
      </c>
      <c r="AL107" s="78"/>
      <c r="AM107" s="78">
        <f t="shared" si="132"/>
        <v>58000</v>
      </c>
    </row>
    <row r="108" spans="1:39" s="23" customFormat="1" ht="21.75" customHeight="1">
      <c r="A108" s="83"/>
      <c r="B108" s="79"/>
      <c r="C108" s="64">
        <v>4420</v>
      </c>
      <c r="D108" s="37" t="s">
        <v>92</v>
      </c>
      <c r="E108" s="78"/>
      <c r="F108" s="78"/>
      <c r="G108" s="78"/>
      <c r="H108" s="78"/>
      <c r="I108" s="78">
        <v>0</v>
      </c>
      <c r="J108" s="78">
        <v>500</v>
      </c>
      <c r="K108" s="78">
        <f t="shared" si="118"/>
        <v>500</v>
      </c>
      <c r="L108" s="78"/>
      <c r="M108" s="78">
        <f t="shared" si="119"/>
        <v>500</v>
      </c>
      <c r="N108" s="78">
        <v>500</v>
      </c>
      <c r="O108" s="78">
        <f t="shared" si="120"/>
        <v>1000</v>
      </c>
      <c r="P108" s="78">
        <v>2000</v>
      </c>
      <c r="Q108" s="78">
        <f t="shared" si="121"/>
        <v>3000</v>
      </c>
      <c r="R108" s="78"/>
      <c r="S108" s="78">
        <f t="shared" si="122"/>
        <v>3000</v>
      </c>
      <c r="T108" s="78"/>
      <c r="U108" s="78">
        <f t="shared" si="123"/>
        <v>3000</v>
      </c>
      <c r="V108" s="78"/>
      <c r="W108" s="78">
        <f t="shared" si="124"/>
        <v>3000</v>
      </c>
      <c r="X108" s="78"/>
      <c r="Y108" s="78">
        <f t="shared" si="125"/>
        <v>3000</v>
      </c>
      <c r="Z108" s="78"/>
      <c r="AA108" s="78">
        <f t="shared" si="126"/>
        <v>3000</v>
      </c>
      <c r="AB108" s="78"/>
      <c r="AC108" s="78">
        <f t="shared" si="127"/>
        <v>3000</v>
      </c>
      <c r="AD108" s="78"/>
      <c r="AE108" s="78">
        <f t="shared" si="128"/>
        <v>3000</v>
      </c>
      <c r="AF108" s="78"/>
      <c r="AG108" s="78">
        <f t="shared" si="129"/>
        <v>3000</v>
      </c>
      <c r="AH108" s="78"/>
      <c r="AI108" s="78">
        <f t="shared" si="130"/>
        <v>3000</v>
      </c>
      <c r="AJ108" s="78"/>
      <c r="AK108" s="78">
        <f t="shared" si="131"/>
        <v>3000</v>
      </c>
      <c r="AL108" s="78"/>
      <c r="AM108" s="78">
        <f t="shared" si="132"/>
        <v>3000</v>
      </c>
    </row>
    <row r="109" spans="1:39" s="23" customFormat="1" ht="16.5" customHeight="1">
      <c r="A109" s="83"/>
      <c r="B109" s="79"/>
      <c r="C109" s="67">
        <v>4430</v>
      </c>
      <c r="D109" s="37" t="s">
        <v>93</v>
      </c>
      <c r="E109" s="78">
        <v>8300</v>
      </c>
      <c r="F109" s="78"/>
      <c r="G109" s="78">
        <f t="shared" si="116"/>
        <v>8300</v>
      </c>
      <c r="H109" s="78"/>
      <c r="I109" s="78">
        <f t="shared" si="117"/>
        <v>8300</v>
      </c>
      <c r="J109" s="78"/>
      <c r="K109" s="78">
        <f t="shared" si="118"/>
        <v>8300</v>
      </c>
      <c r="L109" s="78"/>
      <c r="M109" s="78">
        <f t="shared" si="119"/>
        <v>8300</v>
      </c>
      <c r="N109" s="78"/>
      <c r="O109" s="78">
        <f t="shared" si="120"/>
        <v>8300</v>
      </c>
      <c r="P109" s="78"/>
      <c r="Q109" s="78">
        <f t="shared" si="121"/>
        <v>8300</v>
      </c>
      <c r="R109" s="78"/>
      <c r="S109" s="78">
        <f t="shared" si="122"/>
        <v>8300</v>
      </c>
      <c r="T109" s="78"/>
      <c r="U109" s="78">
        <f t="shared" si="123"/>
        <v>8300</v>
      </c>
      <c r="V109" s="78"/>
      <c r="W109" s="78">
        <f t="shared" si="124"/>
        <v>8300</v>
      </c>
      <c r="X109" s="78"/>
      <c r="Y109" s="78">
        <f t="shared" si="125"/>
        <v>8300</v>
      </c>
      <c r="Z109" s="78"/>
      <c r="AA109" s="78">
        <f t="shared" si="126"/>
        <v>8300</v>
      </c>
      <c r="AB109" s="78"/>
      <c r="AC109" s="78">
        <f t="shared" si="127"/>
        <v>8300</v>
      </c>
      <c r="AD109" s="78"/>
      <c r="AE109" s="78">
        <f t="shared" si="128"/>
        <v>8300</v>
      </c>
      <c r="AF109" s="78"/>
      <c r="AG109" s="78">
        <f t="shared" si="129"/>
        <v>8300</v>
      </c>
      <c r="AH109" s="78"/>
      <c r="AI109" s="78">
        <f t="shared" si="130"/>
        <v>8300</v>
      </c>
      <c r="AJ109" s="78"/>
      <c r="AK109" s="78">
        <f t="shared" si="131"/>
        <v>8300</v>
      </c>
      <c r="AL109" s="78"/>
      <c r="AM109" s="78">
        <f t="shared" si="132"/>
        <v>8300</v>
      </c>
    </row>
    <row r="110" spans="1:39" s="23" customFormat="1" ht="24">
      <c r="A110" s="83"/>
      <c r="B110" s="79"/>
      <c r="C110" s="67">
        <v>4440</v>
      </c>
      <c r="D110" s="37" t="s">
        <v>87</v>
      </c>
      <c r="E110" s="78">
        <v>108869</v>
      </c>
      <c r="F110" s="78"/>
      <c r="G110" s="78">
        <f t="shared" si="116"/>
        <v>108869</v>
      </c>
      <c r="H110" s="78"/>
      <c r="I110" s="78">
        <f t="shared" si="117"/>
        <v>108869</v>
      </c>
      <c r="J110" s="78">
        <v>-17500</v>
      </c>
      <c r="K110" s="78">
        <f t="shared" si="118"/>
        <v>91369</v>
      </c>
      <c r="L110" s="78"/>
      <c r="M110" s="78">
        <f t="shared" si="119"/>
        <v>91369</v>
      </c>
      <c r="N110" s="78"/>
      <c r="O110" s="78">
        <f t="shared" si="120"/>
        <v>91369</v>
      </c>
      <c r="P110" s="78"/>
      <c r="Q110" s="78">
        <f t="shared" si="121"/>
        <v>91369</v>
      </c>
      <c r="R110" s="78"/>
      <c r="S110" s="78">
        <f t="shared" si="122"/>
        <v>91369</v>
      </c>
      <c r="T110" s="78"/>
      <c r="U110" s="78">
        <f t="shared" si="123"/>
        <v>91369</v>
      </c>
      <c r="V110" s="78"/>
      <c r="W110" s="78">
        <f t="shared" si="124"/>
        <v>91369</v>
      </c>
      <c r="X110" s="78"/>
      <c r="Y110" s="78">
        <f t="shared" si="125"/>
        <v>91369</v>
      </c>
      <c r="Z110" s="78"/>
      <c r="AA110" s="78">
        <f t="shared" si="126"/>
        <v>91369</v>
      </c>
      <c r="AB110" s="78"/>
      <c r="AC110" s="78">
        <f t="shared" si="127"/>
        <v>91369</v>
      </c>
      <c r="AD110" s="78"/>
      <c r="AE110" s="78">
        <f t="shared" si="128"/>
        <v>91369</v>
      </c>
      <c r="AF110" s="78"/>
      <c r="AG110" s="78">
        <f t="shared" si="129"/>
        <v>91369</v>
      </c>
      <c r="AH110" s="78"/>
      <c r="AI110" s="78">
        <f t="shared" si="130"/>
        <v>91369</v>
      </c>
      <c r="AJ110" s="78"/>
      <c r="AK110" s="78">
        <f t="shared" si="131"/>
        <v>91369</v>
      </c>
      <c r="AL110" s="78"/>
      <c r="AM110" s="78">
        <f t="shared" si="132"/>
        <v>91369</v>
      </c>
    </row>
    <row r="111" spans="1:39" s="23" customFormat="1" ht="21.75" customHeight="1">
      <c r="A111" s="83"/>
      <c r="B111" s="79"/>
      <c r="C111" s="67">
        <v>4510</v>
      </c>
      <c r="D111" s="37" t="s">
        <v>144</v>
      </c>
      <c r="E111" s="78"/>
      <c r="F111" s="78"/>
      <c r="G111" s="78"/>
      <c r="H111" s="78"/>
      <c r="I111" s="78">
        <v>0</v>
      </c>
      <c r="J111" s="78">
        <v>500</v>
      </c>
      <c r="K111" s="78">
        <f t="shared" si="118"/>
        <v>500</v>
      </c>
      <c r="L111" s="78"/>
      <c r="M111" s="78">
        <f t="shared" si="119"/>
        <v>500</v>
      </c>
      <c r="N111" s="78"/>
      <c r="O111" s="78">
        <f t="shared" si="120"/>
        <v>500</v>
      </c>
      <c r="P111" s="78"/>
      <c r="Q111" s="78">
        <f t="shared" si="121"/>
        <v>500</v>
      </c>
      <c r="R111" s="78"/>
      <c r="S111" s="78">
        <f t="shared" si="122"/>
        <v>500</v>
      </c>
      <c r="T111" s="78"/>
      <c r="U111" s="78">
        <f t="shared" si="123"/>
        <v>500</v>
      </c>
      <c r="V111" s="78"/>
      <c r="W111" s="78">
        <f t="shared" si="124"/>
        <v>500</v>
      </c>
      <c r="X111" s="78">
        <v>350</v>
      </c>
      <c r="Y111" s="78">
        <f t="shared" si="125"/>
        <v>850</v>
      </c>
      <c r="Z111" s="78"/>
      <c r="AA111" s="78">
        <f t="shared" si="126"/>
        <v>850</v>
      </c>
      <c r="AB111" s="78"/>
      <c r="AC111" s="78">
        <f t="shared" si="127"/>
        <v>850</v>
      </c>
      <c r="AD111" s="78"/>
      <c r="AE111" s="78">
        <f t="shared" si="128"/>
        <v>850</v>
      </c>
      <c r="AF111" s="78"/>
      <c r="AG111" s="78">
        <f t="shared" si="129"/>
        <v>850</v>
      </c>
      <c r="AH111" s="78"/>
      <c r="AI111" s="78">
        <f t="shared" si="130"/>
        <v>850</v>
      </c>
      <c r="AJ111" s="78"/>
      <c r="AK111" s="78">
        <f t="shared" si="131"/>
        <v>850</v>
      </c>
      <c r="AL111" s="78"/>
      <c r="AM111" s="78">
        <f t="shared" si="132"/>
        <v>850</v>
      </c>
    </row>
    <row r="112" spans="1:39" s="23" customFormat="1" ht="22.5" customHeight="1">
      <c r="A112" s="83"/>
      <c r="B112" s="79"/>
      <c r="C112" s="67">
        <v>4700</v>
      </c>
      <c r="D112" s="37" t="s">
        <v>234</v>
      </c>
      <c r="E112" s="78">
        <v>40800</v>
      </c>
      <c r="F112" s="78">
        <v>-10000</v>
      </c>
      <c r="G112" s="78">
        <f t="shared" si="116"/>
        <v>30800</v>
      </c>
      <c r="H112" s="78"/>
      <c r="I112" s="78">
        <f t="shared" si="117"/>
        <v>30800</v>
      </c>
      <c r="J112" s="78">
        <v>-500</v>
      </c>
      <c r="K112" s="78">
        <f t="shared" si="118"/>
        <v>30300</v>
      </c>
      <c r="L112" s="78"/>
      <c r="M112" s="78">
        <f t="shared" si="119"/>
        <v>30300</v>
      </c>
      <c r="N112" s="78"/>
      <c r="O112" s="78">
        <f t="shared" si="120"/>
        <v>30300</v>
      </c>
      <c r="P112" s="78"/>
      <c r="Q112" s="78">
        <f t="shared" si="121"/>
        <v>30300</v>
      </c>
      <c r="R112" s="78">
        <v>-432</v>
      </c>
      <c r="S112" s="78">
        <f t="shared" si="122"/>
        <v>29868</v>
      </c>
      <c r="T112" s="78"/>
      <c r="U112" s="78">
        <f t="shared" si="123"/>
        <v>29868</v>
      </c>
      <c r="V112" s="78"/>
      <c r="W112" s="78">
        <f t="shared" si="124"/>
        <v>29868</v>
      </c>
      <c r="X112" s="78"/>
      <c r="Y112" s="78">
        <f t="shared" si="125"/>
        <v>29868</v>
      </c>
      <c r="Z112" s="78"/>
      <c r="AA112" s="78">
        <f t="shared" si="126"/>
        <v>29868</v>
      </c>
      <c r="AB112" s="78"/>
      <c r="AC112" s="78">
        <f t="shared" si="127"/>
        <v>29868</v>
      </c>
      <c r="AD112" s="78"/>
      <c r="AE112" s="78">
        <f t="shared" si="128"/>
        <v>29868</v>
      </c>
      <c r="AF112" s="78"/>
      <c r="AG112" s="78">
        <f t="shared" si="129"/>
        <v>29868</v>
      </c>
      <c r="AH112" s="78">
        <v>8000</v>
      </c>
      <c r="AI112" s="78">
        <f t="shared" si="130"/>
        <v>37868</v>
      </c>
      <c r="AJ112" s="78">
        <v>2381</v>
      </c>
      <c r="AK112" s="78">
        <f t="shared" si="131"/>
        <v>40249</v>
      </c>
      <c r="AL112" s="78"/>
      <c r="AM112" s="78">
        <f t="shared" si="132"/>
        <v>40249</v>
      </c>
    </row>
    <row r="113" spans="1:39" s="23" customFormat="1" ht="24">
      <c r="A113" s="83"/>
      <c r="B113" s="79"/>
      <c r="C113" s="67">
        <v>4740</v>
      </c>
      <c r="D113" s="37" t="s">
        <v>249</v>
      </c>
      <c r="E113" s="78">
        <v>20000</v>
      </c>
      <c r="F113" s="78"/>
      <c r="G113" s="78">
        <f t="shared" si="116"/>
        <v>20000</v>
      </c>
      <c r="H113" s="78"/>
      <c r="I113" s="78">
        <f t="shared" si="117"/>
        <v>20000</v>
      </c>
      <c r="J113" s="78"/>
      <c r="K113" s="78">
        <f t="shared" si="118"/>
        <v>20000</v>
      </c>
      <c r="L113" s="78"/>
      <c r="M113" s="78">
        <f t="shared" si="119"/>
        <v>20000</v>
      </c>
      <c r="N113" s="78"/>
      <c r="O113" s="78">
        <f t="shared" si="120"/>
        <v>20000</v>
      </c>
      <c r="P113" s="78"/>
      <c r="Q113" s="78">
        <f t="shared" si="121"/>
        <v>20000</v>
      </c>
      <c r="R113" s="78"/>
      <c r="S113" s="78">
        <f t="shared" si="122"/>
        <v>20000</v>
      </c>
      <c r="T113" s="78"/>
      <c r="U113" s="78">
        <f t="shared" si="123"/>
        <v>20000</v>
      </c>
      <c r="V113" s="78"/>
      <c r="W113" s="78">
        <f t="shared" si="124"/>
        <v>20000</v>
      </c>
      <c r="X113" s="78"/>
      <c r="Y113" s="78">
        <f t="shared" si="125"/>
        <v>20000</v>
      </c>
      <c r="Z113" s="78"/>
      <c r="AA113" s="78">
        <f t="shared" si="126"/>
        <v>20000</v>
      </c>
      <c r="AB113" s="78"/>
      <c r="AC113" s="78">
        <f t="shared" si="127"/>
        <v>20000</v>
      </c>
      <c r="AD113" s="78"/>
      <c r="AE113" s="78">
        <f t="shared" si="128"/>
        <v>20000</v>
      </c>
      <c r="AF113" s="78"/>
      <c r="AG113" s="78">
        <f t="shared" si="129"/>
        <v>20000</v>
      </c>
      <c r="AH113" s="78"/>
      <c r="AI113" s="78">
        <f t="shared" si="130"/>
        <v>20000</v>
      </c>
      <c r="AJ113" s="78"/>
      <c r="AK113" s="78">
        <f t="shared" si="131"/>
        <v>20000</v>
      </c>
      <c r="AL113" s="78"/>
      <c r="AM113" s="78">
        <f t="shared" si="132"/>
        <v>20000</v>
      </c>
    </row>
    <row r="114" spans="1:39" s="23" customFormat="1" ht="27.75" customHeight="1">
      <c r="A114" s="83"/>
      <c r="B114" s="79"/>
      <c r="C114" s="67">
        <v>4750</v>
      </c>
      <c r="D114" s="37" t="s">
        <v>222</v>
      </c>
      <c r="E114" s="78">
        <v>119519</v>
      </c>
      <c r="F114" s="78"/>
      <c r="G114" s="78">
        <f>SUM(E114:F114)</f>
        <v>119519</v>
      </c>
      <c r="H114" s="78"/>
      <c r="I114" s="78">
        <f>SUM(G114:H114)</f>
        <v>119519</v>
      </c>
      <c r="J114" s="78"/>
      <c r="K114" s="78">
        <f>SUM(I114:J114)</f>
        <v>119519</v>
      </c>
      <c r="L114" s="78">
        <v>13000</v>
      </c>
      <c r="M114" s="78">
        <f>SUM(K114:L114)</f>
        <v>132519</v>
      </c>
      <c r="N114" s="78"/>
      <c r="O114" s="78">
        <f>SUM(M114:N114)</f>
        <v>132519</v>
      </c>
      <c r="P114" s="78"/>
      <c r="Q114" s="78">
        <f>SUM(O114:P114)</f>
        <v>132519</v>
      </c>
      <c r="R114" s="78"/>
      <c r="S114" s="78">
        <f>SUM(Q114:R114)</f>
        <v>132519</v>
      </c>
      <c r="T114" s="78"/>
      <c r="U114" s="78">
        <f>SUM(S114:T114)</f>
        <v>132519</v>
      </c>
      <c r="V114" s="78"/>
      <c r="W114" s="78">
        <f>SUM(U114:V114)</f>
        <v>132519</v>
      </c>
      <c r="X114" s="78"/>
      <c r="Y114" s="78">
        <f>SUM(W114:X114)</f>
        <v>132519</v>
      </c>
      <c r="Z114" s="78"/>
      <c r="AA114" s="78">
        <f>SUM(Y114:Z114)</f>
        <v>132519</v>
      </c>
      <c r="AB114" s="78"/>
      <c r="AC114" s="78">
        <f>SUM(AA114:AB114)</f>
        <v>132519</v>
      </c>
      <c r="AD114" s="78">
        <v>2200</v>
      </c>
      <c r="AE114" s="78">
        <f>SUM(AC114:AD114)</f>
        <v>134719</v>
      </c>
      <c r="AF114" s="78"/>
      <c r="AG114" s="78">
        <f>SUM(AE114:AF114)</f>
        <v>134719</v>
      </c>
      <c r="AH114" s="78">
        <v>-15000</v>
      </c>
      <c r="AI114" s="78">
        <f>SUM(AG114:AH114)</f>
        <v>119719</v>
      </c>
      <c r="AJ114" s="78"/>
      <c r="AK114" s="78">
        <f>SUM(AI114:AJ114)</f>
        <v>119719</v>
      </c>
      <c r="AL114" s="78">
        <v>-12900</v>
      </c>
      <c r="AM114" s="78">
        <f>SUM(AK114:AL114)</f>
        <v>106819</v>
      </c>
    </row>
    <row r="115" spans="1:39" s="23" customFormat="1" ht="27.75" customHeight="1">
      <c r="A115" s="83"/>
      <c r="B115" s="79"/>
      <c r="C115" s="67">
        <v>4780</v>
      </c>
      <c r="D115" s="37" t="s">
        <v>385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>
        <v>0</v>
      </c>
      <c r="R115" s="78">
        <v>600</v>
      </c>
      <c r="S115" s="78">
        <f>SUM(Q115:R115)</f>
        <v>600</v>
      </c>
      <c r="T115" s="78"/>
      <c r="U115" s="78">
        <f>SUM(S115:T115)</f>
        <v>600</v>
      </c>
      <c r="V115" s="78"/>
      <c r="W115" s="78">
        <f>SUM(U115:V115)</f>
        <v>600</v>
      </c>
      <c r="X115" s="78"/>
      <c r="Y115" s="78">
        <f>SUM(W115:X115)</f>
        <v>600</v>
      </c>
      <c r="Z115" s="78"/>
      <c r="AA115" s="78">
        <f>SUM(Y115:Z115)</f>
        <v>600</v>
      </c>
      <c r="AB115" s="78"/>
      <c r="AC115" s="78">
        <f>SUM(AA115:AB115)</f>
        <v>600</v>
      </c>
      <c r="AD115" s="78"/>
      <c r="AE115" s="78">
        <f>SUM(AC115:AD115)</f>
        <v>600</v>
      </c>
      <c r="AF115" s="78"/>
      <c r="AG115" s="78">
        <f>SUM(AE115:AF115)</f>
        <v>600</v>
      </c>
      <c r="AH115" s="78"/>
      <c r="AI115" s="78">
        <f>SUM(AG115:AH115)</f>
        <v>600</v>
      </c>
      <c r="AJ115" s="78"/>
      <c r="AK115" s="78">
        <f>SUM(AI115:AJ115)</f>
        <v>600</v>
      </c>
      <c r="AL115" s="78"/>
      <c r="AM115" s="78">
        <f>SUM(AK115:AL115)</f>
        <v>600</v>
      </c>
    </row>
    <row r="116" spans="1:39" s="23" customFormat="1" ht="24">
      <c r="A116" s="83"/>
      <c r="B116" s="79"/>
      <c r="C116" s="67">
        <v>6050</v>
      </c>
      <c r="D116" s="37" t="s">
        <v>72</v>
      </c>
      <c r="E116" s="78">
        <v>150000</v>
      </c>
      <c r="F116" s="78">
        <v>-100000</v>
      </c>
      <c r="G116" s="78">
        <f t="shared" si="116"/>
        <v>50000</v>
      </c>
      <c r="H116" s="78"/>
      <c r="I116" s="78">
        <f>SUM(G116:H116)</f>
        <v>50000</v>
      </c>
      <c r="J116" s="78"/>
      <c r="K116" s="78">
        <f>SUM(I116:J116)</f>
        <v>50000</v>
      </c>
      <c r="L116" s="78"/>
      <c r="M116" s="78">
        <f>SUM(K116:L116)</f>
        <v>50000</v>
      </c>
      <c r="N116" s="78"/>
      <c r="O116" s="78">
        <f>SUM(M116:N116)</f>
        <v>50000</v>
      </c>
      <c r="P116" s="78"/>
      <c r="Q116" s="78">
        <f>SUM(O116:P116)</f>
        <v>50000</v>
      </c>
      <c r="R116" s="78"/>
      <c r="S116" s="78">
        <f>SUM(Q116:R116)</f>
        <v>50000</v>
      </c>
      <c r="T116" s="78"/>
      <c r="U116" s="78">
        <f>SUM(S116:T116)</f>
        <v>50000</v>
      </c>
      <c r="V116" s="78"/>
      <c r="W116" s="78">
        <f>SUM(U116:V116)</f>
        <v>50000</v>
      </c>
      <c r="X116" s="78"/>
      <c r="Y116" s="78">
        <f>SUM(W116:X116)</f>
        <v>50000</v>
      </c>
      <c r="Z116" s="78"/>
      <c r="AA116" s="78">
        <f>SUM(Y116:Z116)</f>
        <v>50000</v>
      </c>
      <c r="AB116" s="78"/>
      <c r="AC116" s="78">
        <f>SUM(AA116:AB116)</f>
        <v>50000</v>
      </c>
      <c r="AD116" s="78"/>
      <c r="AE116" s="78">
        <f>SUM(AC116:AD116)</f>
        <v>50000</v>
      </c>
      <c r="AF116" s="78"/>
      <c r="AG116" s="78">
        <f>SUM(AE116:AF116)</f>
        <v>50000</v>
      </c>
      <c r="AH116" s="78"/>
      <c r="AI116" s="78">
        <f>SUM(AG116:AH116)</f>
        <v>50000</v>
      </c>
      <c r="AJ116" s="78">
        <f>-35360+20000</f>
        <v>-15360</v>
      </c>
      <c r="AK116" s="78">
        <f>SUM(AI116:AJ116)</f>
        <v>34640</v>
      </c>
      <c r="AL116" s="78"/>
      <c r="AM116" s="78">
        <f>SUM(AK116:AL116)</f>
        <v>34640</v>
      </c>
    </row>
    <row r="117" spans="1:39" s="23" customFormat="1" ht="19.5" customHeight="1">
      <c r="A117" s="83"/>
      <c r="B117" s="79">
        <v>75056</v>
      </c>
      <c r="C117" s="67"/>
      <c r="D117" s="37" t="s">
        <v>418</v>
      </c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>
        <f aca="true" t="shared" si="133" ref="Y117:AE117">SUM(Y118:Y125)</f>
        <v>0</v>
      </c>
      <c r="Z117" s="78">
        <f t="shared" si="133"/>
        <v>14329</v>
      </c>
      <c r="AA117" s="78">
        <f t="shared" si="133"/>
        <v>14329</v>
      </c>
      <c r="AB117" s="78">
        <f t="shared" si="133"/>
        <v>0</v>
      </c>
      <c r="AC117" s="78">
        <f t="shared" si="133"/>
        <v>14329</v>
      </c>
      <c r="AD117" s="78">
        <f t="shared" si="133"/>
        <v>0</v>
      </c>
      <c r="AE117" s="78">
        <f t="shared" si="133"/>
        <v>14329</v>
      </c>
      <c r="AF117" s="78">
        <f aca="true" t="shared" si="134" ref="AF117:AK117">SUM(AF118:AF125)</f>
        <v>2134</v>
      </c>
      <c r="AG117" s="78">
        <f t="shared" si="134"/>
        <v>16463</v>
      </c>
      <c r="AH117" s="78">
        <f t="shared" si="134"/>
        <v>0</v>
      </c>
      <c r="AI117" s="78">
        <f t="shared" si="134"/>
        <v>16463</v>
      </c>
      <c r="AJ117" s="78">
        <f t="shared" si="134"/>
        <v>0</v>
      </c>
      <c r="AK117" s="78">
        <f t="shared" si="134"/>
        <v>16463</v>
      </c>
      <c r="AL117" s="78">
        <f>SUM(AL118:AL125)</f>
        <v>0</v>
      </c>
      <c r="AM117" s="78">
        <f>SUM(AM118:AM125)</f>
        <v>16463</v>
      </c>
    </row>
    <row r="118" spans="1:39" s="23" customFormat="1" ht="24">
      <c r="A118" s="83"/>
      <c r="B118" s="79"/>
      <c r="C118" s="67">
        <v>3020</v>
      </c>
      <c r="D118" s="37" t="s">
        <v>187</v>
      </c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>
        <v>0</v>
      </c>
      <c r="Z118" s="78">
        <v>11500</v>
      </c>
      <c r="AA118" s="78">
        <f aca="true" t="shared" si="135" ref="AA118:AA125">SUM(Y118:Z118)</f>
        <v>11500</v>
      </c>
      <c r="AB118" s="78"/>
      <c r="AC118" s="78">
        <f aca="true" t="shared" si="136" ref="AC118:AC125">SUM(AA118:AB118)</f>
        <v>11500</v>
      </c>
      <c r="AD118" s="78"/>
      <c r="AE118" s="78">
        <f aca="true" t="shared" si="137" ref="AE118:AE125">SUM(AC118:AD118)</f>
        <v>11500</v>
      </c>
      <c r="AF118" s="78"/>
      <c r="AG118" s="78">
        <f aca="true" t="shared" si="138" ref="AG118:AG125">SUM(AE118:AF118)</f>
        <v>11500</v>
      </c>
      <c r="AH118" s="78"/>
      <c r="AI118" s="78">
        <f aca="true" t="shared" si="139" ref="AI118:AI125">SUM(AG118:AH118)</f>
        <v>11500</v>
      </c>
      <c r="AJ118" s="78"/>
      <c r="AK118" s="78">
        <f aca="true" t="shared" si="140" ref="AK118:AK125">SUM(AI118:AJ118)</f>
        <v>11500</v>
      </c>
      <c r="AL118" s="78"/>
      <c r="AM118" s="78">
        <f aca="true" t="shared" si="141" ref="AM118:AM125">SUM(AK118:AL118)</f>
        <v>11500</v>
      </c>
    </row>
    <row r="119" spans="1:42" s="23" customFormat="1" ht="19.5" customHeight="1">
      <c r="A119" s="83"/>
      <c r="B119" s="79"/>
      <c r="C119" s="67">
        <v>4110</v>
      </c>
      <c r="D119" s="37" t="s">
        <v>85</v>
      </c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>
        <v>0</v>
      </c>
      <c r="Z119" s="78">
        <v>1747</v>
      </c>
      <c r="AA119" s="78">
        <f t="shared" si="135"/>
        <v>1747</v>
      </c>
      <c r="AB119" s="78"/>
      <c r="AC119" s="78">
        <f t="shared" si="136"/>
        <v>1747</v>
      </c>
      <c r="AD119" s="78"/>
      <c r="AE119" s="78">
        <f t="shared" si="137"/>
        <v>1747</v>
      </c>
      <c r="AF119" s="78">
        <v>276</v>
      </c>
      <c r="AG119" s="78">
        <f t="shared" si="138"/>
        <v>2023</v>
      </c>
      <c r="AH119" s="78"/>
      <c r="AI119" s="78">
        <f t="shared" si="139"/>
        <v>2023</v>
      </c>
      <c r="AJ119" s="78"/>
      <c r="AK119" s="78">
        <f t="shared" si="140"/>
        <v>2023</v>
      </c>
      <c r="AL119" s="78"/>
      <c r="AM119" s="78">
        <f t="shared" si="141"/>
        <v>2023</v>
      </c>
      <c r="AN119" s="113"/>
      <c r="AO119" s="113"/>
      <c r="AP119" s="113"/>
    </row>
    <row r="120" spans="1:42" s="23" customFormat="1" ht="19.5" customHeight="1">
      <c r="A120" s="83"/>
      <c r="B120" s="79"/>
      <c r="C120" s="67">
        <v>4120</v>
      </c>
      <c r="D120" s="37" t="s">
        <v>86</v>
      </c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>
        <v>0</v>
      </c>
      <c r="Z120" s="78">
        <v>282</v>
      </c>
      <c r="AA120" s="78">
        <f t="shared" si="135"/>
        <v>282</v>
      </c>
      <c r="AB120" s="78"/>
      <c r="AC120" s="78">
        <f t="shared" si="136"/>
        <v>282</v>
      </c>
      <c r="AD120" s="78"/>
      <c r="AE120" s="78">
        <f t="shared" si="137"/>
        <v>282</v>
      </c>
      <c r="AF120" s="78">
        <v>45</v>
      </c>
      <c r="AG120" s="78">
        <f t="shared" si="138"/>
        <v>327</v>
      </c>
      <c r="AH120" s="78"/>
      <c r="AI120" s="78">
        <f t="shared" si="139"/>
        <v>327</v>
      </c>
      <c r="AJ120" s="78"/>
      <c r="AK120" s="78">
        <f t="shared" si="140"/>
        <v>327</v>
      </c>
      <c r="AL120" s="78"/>
      <c r="AM120" s="78">
        <f t="shared" si="141"/>
        <v>327</v>
      </c>
      <c r="AN120" s="113"/>
      <c r="AO120" s="113"/>
      <c r="AP120" s="113"/>
    </row>
    <row r="121" spans="1:42" s="23" customFormat="1" ht="19.5" customHeight="1">
      <c r="A121" s="83"/>
      <c r="B121" s="79"/>
      <c r="C121" s="67">
        <v>4170</v>
      </c>
      <c r="D121" s="37" t="s">
        <v>189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>
        <v>0</v>
      </c>
      <c r="AF121" s="78">
        <v>1813</v>
      </c>
      <c r="AG121" s="78">
        <f t="shared" si="138"/>
        <v>1813</v>
      </c>
      <c r="AH121" s="78"/>
      <c r="AI121" s="78">
        <f t="shared" si="139"/>
        <v>1813</v>
      </c>
      <c r="AJ121" s="78"/>
      <c r="AK121" s="78">
        <f t="shared" si="140"/>
        <v>1813</v>
      </c>
      <c r="AL121" s="78"/>
      <c r="AM121" s="78">
        <f t="shared" si="141"/>
        <v>1813</v>
      </c>
      <c r="AN121" s="113"/>
      <c r="AO121" s="113"/>
      <c r="AP121" s="113"/>
    </row>
    <row r="122" spans="1:39" s="23" customFormat="1" ht="19.5" customHeight="1">
      <c r="A122" s="83"/>
      <c r="B122" s="79"/>
      <c r="C122" s="67">
        <v>4210</v>
      </c>
      <c r="D122" s="37" t="s">
        <v>91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>
        <v>0</v>
      </c>
      <c r="Z122" s="78">
        <v>85</v>
      </c>
      <c r="AA122" s="78">
        <f t="shared" si="135"/>
        <v>85</v>
      </c>
      <c r="AB122" s="78"/>
      <c r="AC122" s="78">
        <f t="shared" si="136"/>
        <v>85</v>
      </c>
      <c r="AD122" s="78"/>
      <c r="AE122" s="78">
        <f t="shared" si="137"/>
        <v>85</v>
      </c>
      <c r="AF122" s="78"/>
      <c r="AG122" s="78">
        <f t="shared" si="138"/>
        <v>85</v>
      </c>
      <c r="AH122" s="78"/>
      <c r="AI122" s="78">
        <f t="shared" si="139"/>
        <v>85</v>
      </c>
      <c r="AJ122" s="78"/>
      <c r="AK122" s="78">
        <f t="shared" si="140"/>
        <v>85</v>
      </c>
      <c r="AL122" s="78"/>
      <c r="AM122" s="78">
        <f t="shared" si="141"/>
        <v>85</v>
      </c>
    </row>
    <row r="123" spans="1:39" s="23" customFormat="1" ht="19.5" customHeight="1">
      <c r="A123" s="83"/>
      <c r="B123" s="79"/>
      <c r="C123" s="67">
        <v>4410</v>
      </c>
      <c r="D123" s="37" t="s">
        <v>89</v>
      </c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>
        <v>0</v>
      </c>
      <c r="Z123" s="78">
        <v>640</v>
      </c>
      <c r="AA123" s="78">
        <f t="shared" si="135"/>
        <v>640</v>
      </c>
      <c r="AB123" s="78"/>
      <c r="AC123" s="78">
        <f t="shared" si="136"/>
        <v>640</v>
      </c>
      <c r="AD123" s="78"/>
      <c r="AE123" s="78">
        <f t="shared" si="137"/>
        <v>640</v>
      </c>
      <c r="AF123" s="78"/>
      <c r="AG123" s="78">
        <f t="shared" si="138"/>
        <v>640</v>
      </c>
      <c r="AH123" s="78"/>
      <c r="AI123" s="78">
        <f t="shared" si="139"/>
        <v>640</v>
      </c>
      <c r="AJ123" s="78"/>
      <c r="AK123" s="78">
        <f t="shared" si="140"/>
        <v>640</v>
      </c>
      <c r="AL123" s="78"/>
      <c r="AM123" s="78">
        <f t="shared" si="141"/>
        <v>640</v>
      </c>
    </row>
    <row r="124" spans="1:39" s="23" customFormat="1" ht="24">
      <c r="A124" s="83"/>
      <c r="B124" s="79"/>
      <c r="C124" s="67">
        <v>4740</v>
      </c>
      <c r="D124" s="37" t="s">
        <v>249</v>
      </c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>
        <v>0</v>
      </c>
      <c r="Z124" s="78">
        <v>25</v>
      </c>
      <c r="AA124" s="78">
        <f t="shared" si="135"/>
        <v>25</v>
      </c>
      <c r="AB124" s="78"/>
      <c r="AC124" s="78">
        <f t="shared" si="136"/>
        <v>25</v>
      </c>
      <c r="AD124" s="78"/>
      <c r="AE124" s="78">
        <f t="shared" si="137"/>
        <v>25</v>
      </c>
      <c r="AF124" s="78"/>
      <c r="AG124" s="78">
        <f t="shared" si="138"/>
        <v>25</v>
      </c>
      <c r="AH124" s="78"/>
      <c r="AI124" s="78">
        <f t="shared" si="139"/>
        <v>25</v>
      </c>
      <c r="AJ124" s="78"/>
      <c r="AK124" s="78">
        <f t="shared" si="140"/>
        <v>25</v>
      </c>
      <c r="AL124" s="78"/>
      <c r="AM124" s="78">
        <f t="shared" si="141"/>
        <v>25</v>
      </c>
    </row>
    <row r="125" spans="1:39" s="23" customFormat="1" ht="24">
      <c r="A125" s="83"/>
      <c r="B125" s="79"/>
      <c r="C125" s="67">
        <v>4750</v>
      </c>
      <c r="D125" s="37" t="s">
        <v>222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>
        <v>0</v>
      </c>
      <c r="Z125" s="78">
        <v>50</v>
      </c>
      <c r="AA125" s="78">
        <f t="shared" si="135"/>
        <v>50</v>
      </c>
      <c r="AB125" s="78"/>
      <c r="AC125" s="78">
        <f t="shared" si="136"/>
        <v>50</v>
      </c>
      <c r="AD125" s="78"/>
      <c r="AE125" s="78">
        <f t="shared" si="137"/>
        <v>50</v>
      </c>
      <c r="AF125" s="78"/>
      <c r="AG125" s="78">
        <f t="shared" si="138"/>
        <v>50</v>
      </c>
      <c r="AH125" s="78"/>
      <c r="AI125" s="78">
        <f t="shared" si="139"/>
        <v>50</v>
      </c>
      <c r="AJ125" s="78"/>
      <c r="AK125" s="78">
        <f t="shared" si="140"/>
        <v>50</v>
      </c>
      <c r="AL125" s="78"/>
      <c r="AM125" s="78">
        <f t="shared" si="141"/>
        <v>50</v>
      </c>
    </row>
    <row r="126" spans="1:39" s="23" customFormat="1" ht="24">
      <c r="A126" s="83"/>
      <c r="B126" s="79">
        <v>75075</v>
      </c>
      <c r="C126" s="83"/>
      <c r="D126" s="37" t="s">
        <v>201</v>
      </c>
      <c r="E126" s="78">
        <f aca="true" t="shared" si="142" ref="E126:J126">SUM(E128:E140)</f>
        <v>238000</v>
      </c>
      <c r="F126" s="78">
        <f t="shared" si="142"/>
        <v>-48000</v>
      </c>
      <c r="G126" s="78">
        <f t="shared" si="142"/>
        <v>190000</v>
      </c>
      <c r="H126" s="78">
        <f t="shared" si="142"/>
        <v>0</v>
      </c>
      <c r="I126" s="78">
        <f t="shared" si="142"/>
        <v>190000</v>
      </c>
      <c r="J126" s="78">
        <f t="shared" si="142"/>
        <v>0</v>
      </c>
      <c r="K126" s="78">
        <f aca="true" t="shared" si="143" ref="K126:W126">SUM(K127:K140)</f>
        <v>190000</v>
      </c>
      <c r="L126" s="78">
        <f t="shared" si="143"/>
        <v>5000</v>
      </c>
      <c r="M126" s="78">
        <f t="shared" si="143"/>
        <v>195000</v>
      </c>
      <c r="N126" s="78">
        <f t="shared" si="143"/>
        <v>0</v>
      </c>
      <c r="O126" s="78">
        <f t="shared" si="143"/>
        <v>195000</v>
      </c>
      <c r="P126" s="78">
        <f t="shared" si="143"/>
        <v>0</v>
      </c>
      <c r="Q126" s="78">
        <f t="shared" si="143"/>
        <v>195000</v>
      </c>
      <c r="R126" s="78">
        <f t="shared" si="143"/>
        <v>0</v>
      </c>
      <c r="S126" s="78">
        <f t="shared" si="143"/>
        <v>195000</v>
      </c>
      <c r="T126" s="78">
        <f t="shared" si="143"/>
        <v>0</v>
      </c>
      <c r="U126" s="78">
        <f t="shared" si="143"/>
        <v>195000</v>
      </c>
      <c r="V126" s="78">
        <f t="shared" si="143"/>
        <v>0</v>
      </c>
      <c r="W126" s="78">
        <f t="shared" si="143"/>
        <v>195000</v>
      </c>
      <c r="X126" s="78">
        <f aca="true" t="shared" si="144" ref="X126:AC126">SUM(X127:X140)</f>
        <v>0</v>
      </c>
      <c r="Y126" s="78">
        <f t="shared" si="144"/>
        <v>195000</v>
      </c>
      <c r="Z126" s="78">
        <f t="shared" si="144"/>
        <v>16450</v>
      </c>
      <c r="AA126" s="78">
        <f t="shared" si="144"/>
        <v>211450</v>
      </c>
      <c r="AB126" s="78">
        <f t="shared" si="144"/>
        <v>0</v>
      </c>
      <c r="AC126" s="78">
        <f t="shared" si="144"/>
        <v>211450</v>
      </c>
      <c r="AD126" s="78">
        <f aca="true" t="shared" si="145" ref="AD126:AI126">SUM(AD127:AD140)</f>
        <v>0</v>
      </c>
      <c r="AE126" s="78">
        <f t="shared" si="145"/>
        <v>211450</v>
      </c>
      <c r="AF126" s="78">
        <f t="shared" si="145"/>
        <v>0</v>
      </c>
      <c r="AG126" s="78">
        <f t="shared" si="145"/>
        <v>211450</v>
      </c>
      <c r="AH126" s="78">
        <f t="shared" si="145"/>
        <v>0</v>
      </c>
      <c r="AI126" s="78">
        <f t="shared" si="145"/>
        <v>211450</v>
      </c>
      <c r="AJ126" s="78">
        <f>SUM(AJ127:AJ140)</f>
        <v>0</v>
      </c>
      <c r="AK126" s="78">
        <f>SUM(AK127:AK140)</f>
        <v>211450</v>
      </c>
      <c r="AL126" s="78">
        <f>SUM(AL127:AL140)</f>
        <v>0</v>
      </c>
      <c r="AM126" s="78">
        <f>SUM(AM127:AM140)</f>
        <v>211450</v>
      </c>
    </row>
    <row r="127" spans="1:39" s="23" customFormat="1" ht="48">
      <c r="A127" s="83"/>
      <c r="B127" s="79"/>
      <c r="C127" s="83">
        <v>2320</v>
      </c>
      <c r="D127" s="37" t="s">
        <v>148</v>
      </c>
      <c r="E127" s="78"/>
      <c r="F127" s="78"/>
      <c r="G127" s="78"/>
      <c r="H127" s="78"/>
      <c r="I127" s="78"/>
      <c r="J127" s="78"/>
      <c r="K127" s="78">
        <v>0</v>
      </c>
      <c r="L127" s="78">
        <v>5000</v>
      </c>
      <c r="M127" s="78">
        <f>SUM(K127:L127)</f>
        <v>5000</v>
      </c>
      <c r="N127" s="78"/>
      <c r="O127" s="78">
        <f>SUM(M127:N127)</f>
        <v>5000</v>
      </c>
      <c r="P127" s="78"/>
      <c r="Q127" s="78">
        <f>SUM(O127:P127)</f>
        <v>5000</v>
      </c>
      <c r="R127" s="78"/>
      <c r="S127" s="78">
        <f>SUM(Q127:R127)</f>
        <v>5000</v>
      </c>
      <c r="T127" s="78"/>
      <c r="U127" s="78">
        <f>SUM(S127:T127)</f>
        <v>5000</v>
      </c>
      <c r="V127" s="78"/>
      <c r="W127" s="78">
        <f>SUM(U127:V127)</f>
        <v>5000</v>
      </c>
      <c r="X127" s="78"/>
      <c r="Y127" s="78">
        <f>SUM(W127:X127)</f>
        <v>5000</v>
      </c>
      <c r="Z127" s="78"/>
      <c r="AA127" s="78">
        <f>SUM(Y127:Z127)</f>
        <v>5000</v>
      </c>
      <c r="AB127" s="78"/>
      <c r="AC127" s="78">
        <f>SUM(AA127:AB127)</f>
        <v>5000</v>
      </c>
      <c r="AD127" s="78"/>
      <c r="AE127" s="78">
        <f>SUM(AC127:AD127)</f>
        <v>5000</v>
      </c>
      <c r="AF127" s="78"/>
      <c r="AG127" s="78">
        <f>SUM(AE127:AF127)</f>
        <v>5000</v>
      </c>
      <c r="AH127" s="78"/>
      <c r="AI127" s="78">
        <f>SUM(AG127:AH127)</f>
        <v>5000</v>
      </c>
      <c r="AJ127" s="78"/>
      <c r="AK127" s="78">
        <f>SUM(AI127:AJ127)</f>
        <v>5000</v>
      </c>
      <c r="AL127" s="78"/>
      <c r="AM127" s="78">
        <f>SUM(AK127:AL127)</f>
        <v>5000</v>
      </c>
    </row>
    <row r="128" spans="1:39" s="23" customFormat="1" ht="21" customHeight="1">
      <c r="A128" s="83"/>
      <c r="B128" s="79"/>
      <c r="C128" s="83">
        <v>3020</v>
      </c>
      <c r="D128" s="37" t="s">
        <v>187</v>
      </c>
      <c r="E128" s="78">
        <v>10000</v>
      </c>
      <c r="F128" s="78"/>
      <c r="G128" s="78">
        <f>SUM(E128:F128)</f>
        <v>10000</v>
      </c>
      <c r="H128" s="78"/>
      <c r="I128" s="78">
        <f>SUM(G128:H128)</f>
        <v>10000</v>
      </c>
      <c r="J128" s="78"/>
      <c r="K128" s="78">
        <f>SUM(I128:J128)</f>
        <v>10000</v>
      </c>
      <c r="L128" s="78"/>
      <c r="M128" s="78">
        <f>SUM(K128:L128)</f>
        <v>10000</v>
      </c>
      <c r="N128" s="78"/>
      <c r="O128" s="78">
        <f>SUM(M128:N128)</f>
        <v>10000</v>
      </c>
      <c r="P128" s="78"/>
      <c r="Q128" s="78">
        <f>SUM(O128:P128)</f>
        <v>10000</v>
      </c>
      <c r="R128" s="78"/>
      <c r="S128" s="78">
        <f>SUM(Q128:R128)</f>
        <v>10000</v>
      </c>
      <c r="T128" s="78"/>
      <c r="U128" s="78">
        <f>SUM(S128:T128)</f>
        <v>10000</v>
      </c>
      <c r="V128" s="78"/>
      <c r="W128" s="78">
        <f>SUM(U128:V128)</f>
        <v>10000</v>
      </c>
      <c r="X128" s="78"/>
      <c r="Y128" s="78">
        <f>SUM(W128:X128)</f>
        <v>10000</v>
      </c>
      <c r="Z128" s="78"/>
      <c r="AA128" s="78">
        <f>SUM(Y128:Z128)</f>
        <v>10000</v>
      </c>
      <c r="AB128" s="78"/>
      <c r="AC128" s="78">
        <f>SUM(AA128:AB128)</f>
        <v>10000</v>
      </c>
      <c r="AD128" s="78"/>
      <c r="AE128" s="78">
        <f>SUM(AC128:AD128)</f>
        <v>10000</v>
      </c>
      <c r="AF128" s="78"/>
      <c r="AG128" s="78">
        <f>SUM(AE128:AF128)</f>
        <v>10000</v>
      </c>
      <c r="AH128" s="78"/>
      <c r="AI128" s="78">
        <f>SUM(AG128:AH128)</f>
        <v>10000</v>
      </c>
      <c r="AJ128" s="78"/>
      <c r="AK128" s="78">
        <f>SUM(AI128:AJ128)</f>
        <v>10000</v>
      </c>
      <c r="AL128" s="78"/>
      <c r="AM128" s="78">
        <f>SUM(AK128:AL128)</f>
        <v>10000</v>
      </c>
    </row>
    <row r="129" spans="1:42" s="23" customFormat="1" ht="21" customHeight="1">
      <c r="A129" s="83"/>
      <c r="B129" s="79"/>
      <c r="C129" s="83">
        <v>4110</v>
      </c>
      <c r="D129" s="37" t="s">
        <v>85</v>
      </c>
      <c r="E129" s="78">
        <v>1300</v>
      </c>
      <c r="F129" s="78"/>
      <c r="G129" s="78">
        <f aca="true" t="shared" si="146" ref="G129:G140">SUM(E129:F129)</f>
        <v>1300</v>
      </c>
      <c r="H129" s="78"/>
      <c r="I129" s="78">
        <f aca="true" t="shared" si="147" ref="I129:I140">SUM(G129:H129)</f>
        <v>1300</v>
      </c>
      <c r="J129" s="78"/>
      <c r="K129" s="78">
        <f aca="true" t="shared" si="148" ref="K129:K140">SUM(I129:J129)</f>
        <v>1300</v>
      </c>
      <c r="L129" s="78"/>
      <c r="M129" s="78">
        <f aca="true" t="shared" si="149" ref="M129:M140">SUM(K129:L129)</f>
        <v>1300</v>
      </c>
      <c r="N129" s="78"/>
      <c r="O129" s="78">
        <f aca="true" t="shared" si="150" ref="O129:O140">SUM(M129:N129)</f>
        <v>1300</v>
      </c>
      <c r="P129" s="78"/>
      <c r="Q129" s="78">
        <f aca="true" t="shared" si="151" ref="Q129:Q140">SUM(O129:P129)</f>
        <v>1300</v>
      </c>
      <c r="R129" s="78"/>
      <c r="S129" s="78">
        <f aca="true" t="shared" si="152" ref="S129:S140">SUM(Q129:R129)</f>
        <v>1300</v>
      </c>
      <c r="T129" s="78"/>
      <c r="U129" s="78">
        <f aca="true" t="shared" si="153" ref="U129:U140">SUM(S129:T129)</f>
        <v>1300</v>
      </c>
      <c r="V129" s="78"/>
      <c r="W129" s="78">
        <f aca="true" t="shared" si="154" ref="W129:W140">SUM(U129:V129)</f>
        <v>1300</v>
      </c>
      <c r="X129" s="78"/>
      <c r="Y129" s="78">
        <f aca="true" t="shared" si="155" ref="Y129:Y140">SUM(W129:X129)</f>
        <v>1300</v>
      </c>
      <c r="Z129" s="78"/>
      <c r="AA129" s="78">
        <f aca="true" t="shared" si="156" ref="AA129:AA140">SUM(Y129:Z129)</f>
        <v>1300</v>
      </c>
      <c r="AB129" s="78"/>
      <c r="AC129" s="78">
        <f aca="true" t="shared" si="157" ref="AC129:AC140">SUM(AA129:AB129)</f>
        <v>1300</v>
      </c>
      <c r="AD129" s="78"/>
      <c r="AE129" s="78">
        <f aca="true" t="shared" si="158" ref="AE129:AE140">SUM(AC129:AD129)</f>
        <v>1300</v>
      </c>
      <c r="AF129" s="78"/>
      <c r="AG129" s="78">
        <f aca="true" t="shared" si="159" ref="AG129:AG140">SUM(AE129:AF129)</f>
        <v>1300</v>
      </c>
      <c r="AH129" s="78"/>
      <c r="AI129" s="78">
        <f aca="true" t="shared" si="160" ref="AI129:AI140">SUM(AG129:AH129)</f>
        <v>1300</v>
      </c>
      <c r="AJ129" s="78"/>
      <c r="AK129" s="78">
        <f aca="true" t="shared" si="161" ref="AK129:AK140">SUM(AI129:AJ129)</f>
        <v>1300</v>
      </c>
      <c r="AL129" s="78"/>
      <c r="AM129" s="78">
        <f aca="true" t="shared" si="162" ref="AM129:AM140">SUM(AK129:AL129)</f>
        <v>1300</v>
      </c>
      <c r="AN129" s="113"/>
      <c r="AO129" s="113"/>
      <c r="AP129" s="113"/>
    </row>
    <row r="130" spans="1:42" s="23" customFormat="1" ht="21" customHeight="1">
      <c r="A130" s="83"/>
      <c r="B130" s="79"/>
      <c r="C130" s="83">
        <v>4120</v>
      </c>
      <c r="D130" s="37" t="s">
        <v>86</v>
      </c>
      <c r="E130" s="78">
        <v>200</v>
      </c>
      <c r="F130" s="78"/>
      <c r="G130" s="78">
        <f t="shared" si="146"/>
        <v>200</v>
      </c>
      <c r="H130" s="78"/>
      <c r="I130" s="78">
        <f t="shared" si="147"/>
        <v>200</v>
      </c>
      <c r="J130" s="78"/>
      <c r="K130" s="78">
        <f t="shared" si="148"/>
        <v>200</v>
      </c>
      <c r="L130" s="78"/>
      <c r="M130" s="78">
        <f t="shared" si="149"/>
        <v>200</v>
      </c>
      <c r="N130" s="78"/>
      <c r="O130" s="78">
        <f t="shared" si="150"/>
        <v>200</v>
      </c>
      <c r="P130" s="78"/>
      <c r="Q130" s="78">
        <f t="shared" si="151"/>
        <v>200</v>
      </c>
      <c r="R130" s="78"/>
      <c r="S130" s="78">
        <f t="shared" si="152"/>
        <v>200</v>
      </c>
      <c r="T130" s="78"/>
      <c r="U130" s="78">
        <f t="shared" si="153"/>
        <v>200</v>
      </c>
      <c r="V130" s="78"/>
      <c r="W130" s="78">
        <f t="shared" si="154"/>
        <v>200</v>
      </c>
      <c r="X130" s="78"/>
      <c r="Y130" s="78">
        <f t="shared" si="155"/>
        <v>200</v>
      </c>
      <c r="Z130" s="78"/>
      <c r="AA130" s="78">
        <f t="shared" si="156"/>
        <v>200</v>
      </c>
      <c r="AB130" s="78"/>
      <c r="AC130" s="78">
        <f t="shared" si="157"/>
        <v>200</v>
      </c>
      <c r="AD130" s="78"/>
      <c r="AE130" s="78">
        <f t="shared" si="158"/>
        <v>200</v>
      </c>
      <c r="AF130" s="78"/>
      <c r="AG130" s="78">
        <f t="shared" si="159"/>
        <v>200</v>
      </c>
      <c r="AH130" s="78"/>
      <c r="AI130" s="78">
        <f t="shared" si="160"/>
        <v>200</v>
      </c>
      <c r="AJ130" s="78"/>
      <c r="AK130" s="78">
        <f t="shared" si="161"/>
        <v>200</v>
      </c>
      <c r="AL130" s="78"/>
      <c r="AM130" s="78">
        <f t="shared" si="162"/>
        <v>200</v>
      </c>
      <c r="AN130" s="113"/>
      <c r="AO130" s="113"/>
      <c r="AP130" s="113"/>
    </row>
    <row r="131" spans="1:42" s="23" customFormat="1" ht="21" customHeight="1">
      <c r="A131" s="83"/>
      <c r="B131" s="79"/>
      <c r="C131" s="83">
        <v>4170</v>
      </c>
      <c r="D131" s="37" t="s">
        <v>189</v>
      </c>
      <c r="E131" s="78">
        <v>15000</v>
      </c>
      <c r="F131" s="78"/>
      <c r="G131" s="78">
        <f t="shared" si="146"/>
        <v>15000</v>
      </c>
      <c r="H131" s="78"/>
      <c r="I131" s="78">
        <f t="shared" si="147"/>
        <v>15000</v>
      </c>
      <c r="J131" s="78"/>
      <c r="K131" s="78">
        <f t="shared" si="148"/>
        <v>15000</v>
      </c>
      <c r="L131" s="78"/>
      <c r="M131" s="78">
        <f t="shared" si="149"/>
        <v>15000</v>
      </c>
      <c r="N131" s="78"/>
      <c r="O131" s="78">
        <f t="shared" si="150"/>
        <v>15000</v>
      </c>
      <c r="P131" s="78"/>
      <c r="Q131" s="78">
        <f t="shared" si="151"/>
        <v>15000</v>
      </c>
      <c r="R131" s="78"/>
      <c r="S131" s="78">
        <f t="shared" si="152"/>
        <v>15000</v>
      </c>
      <c r="T131" s="78"/>
      <c r="U131" s="78">
        <f t="shared" si="153"/>
        <v>15000</v>
      </c>
      <c r="V131" s="78"/>
      <c r="W131" s="78">
        <f t="shared" si="154"/>
        <v>15000</v>
      </c>
      <c r="X131" s="78"/>
      <c r="Y131" s="78">
        <f t="shared" si="155"/>
        <v>15000</v>
      </c>
      <c r="Z131" s="78">
        <v>150</v>
      </c>
      <c r="AA131" s="78">
        <f t="shared" si="156"/>
        <v>15150</v>
      </c>
      <c r="AB131" s="78"/>
      <c r="AC131" s="78">
        <f t="shared" si="157"/>
        <v>15150</v>
      </c>
      <c r="AD131" s="78">
        <v>-65</v>
      </c>
      <c r="AE131" s="78">
        <f t="shared" si="158"/>
        <v>15085</v>
      </c>
      <c r="AF131" s="78">
        <v>-10000</v>
      </c>
      <c r="AG131" s="78">
        <f t="shared" si="159"/>
        <v>5085</v>
      </c>
      <c r="AH131" s="78"/>
      <c r="AI131" s="78">
        <f t="shared" si="160"/>
        <v>5085</v>
      </c>
      <c r="AJ131" s="78"/>
      <c r="AK131" s="78">
        <f t="shared" si="161"/>
        <v>5085</v>
      </c>
      <c r="AL131" s="78"/>
      <c r="AM131" s="78">
        <f t="shared" si="162"/>
        <v>5085</v>
      </c>
      <c r="AN131" s="113"/>
      <c r="AO131" s="113"/>
      <c r="AP131" s="113"/>
    </row>
    <row r="132" spans="1:39" s="23" customFormat="1" ht="21" customHeight="1">
      <c r="A132" s="83"/>
      <c r="B132" s="79"/>
      <c r="C132" s="83">
        <v>4210</v>
      </c>
      <c r="D132" s="37" t="s">
        <v>91</v>
      </c>
      <c r="E132" s="78">
        <v>64500</v>
      </c>
      <c r="F132" s="78">
        <v>-20000</v>
      </c>
      <c r="G132" s="78">
        <f t="shared" si="146"/>
        <v>44500</v>
      </c>
      <c r="H132" s="78"/>
      <c r="I132" s="78">
        <f t="shared" si="147"/>
        <v>44500</v>
      </c>
      <c r="J132" s="78"/>
      <c r="K132" s="78">
        <f t="shared" si="148"/>
        <v>44500</v>
      </c>
      <c r="L132" s="78"/>
      <c r="M132" s="78">
        <f t="shared" si="149"/>
        <v>44500</v>
      </c>
      <c r="N132" s="78"/>
      <c r="O132" s="78">
        <f t="shared" si="150"/>
        <v>44500</v>
      </c>
      <c r="P132" s="78"/>
      <c r="Q132" s="78">
        <f t="shared" si="151"/>
        <v>44500</v>
      </c>
      <c r="R132" s="78"/>
      <c r="S132" s="78">
        <f t="shared" si="152"/>
        <v>44500</v>
      </c>
      <c r="T132" s="78"/>
      <c r="U132" s="78">
        <f t="shared" si="153"/>
        <v>44500</v>
      </c>
      <c r="V132" s="78"/>
      <c r="W132" s="78">
        <f t="shared" si="154"/>
        <v>44500</v>
      </c>
      <c r="X132" s="78"/>
      <c r="Y132" s="78">
        <f t="shared" si="155"/>
        <v>44500</v>
      </c>
      <c r="Z132" s="78">
        <v>1750</v>
      </c>
      <c r="AA132" s="78">
        <f t="shared" si="156"/>
        <v>46250</v>
      </c>
      <c r="AB132" s="78"/>
      <c r="AC132" s="78">
        <f t="shared" si="157"/>
        <v>46250</v>
      </c>
      <c r="AD132" s="78"/>
      <c r="AE132" s="78">
        <f t="shared" si="158"/>
        <v>46250</v>
      </c>
      <c r="AF132" s="78"/>
      <c r="AG132" s="78">
        <f t="shared" si="159"/>
        <v>46250</v>
      </c>
      <c r="AH132" s="78"/>
      <c r="AI132" s="78">
        <f t="shared" si="160"/>
        <v>46250</v>
      </c>
      <c r="AJ132" s="78">
        <v>5000</v>
      </c>
      <c r="AK132" s="78">
        <f t="shared" si="161"/>
        <v>51250</v>
      </c>
      <c r="AL132" s="78">
        <v>-4932</v>
      </c>
      <c r="AM132" s="78">
        <f t="shared" si="162"/>
        <v>46318</v>
      </c>
    </row>
    <row r="133" spans="1:39" s="23" customFormat="1" ht="21" customHeight="1">
      <c r="A133" s="83"/>
      <c r="B133" s="79"/>
      <c r="C133" s="64">
        <v>4300</v>
      </c>
      <c r="D133" s="37" t="s">
        <v>78</v>
      </c>
      <c r="E133" s="78">
        <v>130200</v>
      </c>
      <c r="F133" s="78">
        <f>-23000-5000</f>
        <v>-28000</v>
      </c>
      <c r="G133" s="78">
        <f t="shared" si="146"/>
        <v>102200</v>
      </c>
      <c r="H133" s="78"/>
      <c r="I133" s="78">
        <f t="shared" si="147"/>
        <v>102200</v>
      </c>
      <c r="J133" s="78"/>
      <c r="K133" s="78">
        <f t="shared" si="148"/>
        <v>102200</v>
      </c>
      <c r="L133" s="78"/>
      <c r="M133" s="78">
        <f t="shared" si="149"/>
        <v>102200</v>
      </c>
      <c r="N133" s="78"/>
      <c r="O133" s="78">
        <f t="shared" si="150"/>
        <v>102200</v>
      </c>
      <c r="P133" s="78"/>
      <c r="Q133" s="78">
        <f t="shared" si="151"/>
        <v>102200</v>
      </c>
      <c r="R133" s="78"/>
      <c r="S133" s="78">
        <f t="shared" si="152"/>
        <v>102200</v>
      </c>
      <c r="T133" s="78"/>
      <c r="U133" s="78">
        <f t="shared" si="153"/>
        <v>102200</v>
      </c>
      <c r="V133" s="78"/>
      <c r="W133" s="78">
        <f t="shared" si="154"/>
        <v>102200</v>
      </c>
      <c r="X133" s="78"/>
      <c r="Y133" s="78">
        <f t="shared" si="155"/>
        <v>102200</v>
      </c>
      <c r="Z133" s="78">
        <v>7250</v>
      </c>
      <c r="AA133" s="78">
        <f t="shared" si="156"/>
        <v>109450</v>
      </c>
      <c r="AB133" s="78"/>
      <c r="AC133" s="78">
        <f t="shared" si="157"/>
        <v>109450</v>
      </c>
      <c r="AD133" s="78"/>
      <c r="AE133" s="78">
        <f t="shared" si="158"/>
        <v>109450</v>
      </c>
      <c r="AF133" s="78">
        <v>10000</v>
      </c>
      <c r="AG133" s="78">
        <f t="shared" si="159"/>
        <v>119450</v>
      </c>
      <c r="AH133" s="78">
        <v>4000</v>
      </c>
      <c r="AI133" s="78">
        <f t="shared" si="160"/>
        <v>123450</v>
      </c>
      <c r="AJ133" s="78"/>
      <c r="AK133" s="78">
        <f t="shared" si="161"/>
        <v>123450</v>
      </c>
      <c r="AL133" s="78">
        <v>10500</v>
      </c>
      <c r="AM133" s="78">
        <f t="shared" si="162"/>
        <v>133950</v>
      </c>
    </row>
    <row r="134" spans="1:39" s="23" customFormat="1" ht="21" customHeight="1">
      <c r="A134" s="83"/>
      <c r="B134" s="79"/>
      <c r="C134" s="64">
        <v>4350</v>
      </c>
      <c r="D134" s="37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>
        <v>0</v>
      </c>
      <c r="AL134" s="78">
        <v>200</v>
      </c>
      <c r="AM134" s="78">
        <f t="shared" si="162"/>
        <v>200</v>
      </c>
    </row>
    <row r="135" spans="1:39" s="23" customFormat="1" ht="21" customHeight="1">
      <c r="A135" s="83"/>
      <c r="B135" s="79"/>
      <c r="C135" s="64">
        <v>4380</v>
      </c>
      <c r="D135" s="37" t="s">
        <v>441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>
        <v>0</v>
      </c>
      <c r="AD135" s="78">
        <v>65</v>
      </c>
      <c r="AE135" s="78">
        <f t="shared" si="158"/>
        <v>65</v>
      </c>
      <c r="AF135" s="78"/>
      <c r="AG135" s="78">
        <f t="shared" si="159"/>
        <v>65</v>
      </c>
      <c r="AH135" s="78">
        <v>600</v>
      </c>
      <c r="AI135" s="78">
        <f t="shared" si="160"/>
        <v>665</v>
      </c>
      <c r="AJ135" s="78"/>
      <c r="AK135" s="78">
        <f t="shared" si="161"/>
        <v>665</v>
      </c>
      <c r="AL135" s="78">
        <v>-300</v>
      </c>
      <c r="AM135" s="78">
        <f t="shared" si="162"/>
        <v>365</v>
      </c>
    </row>
    <row r="136" spans="1:39" s="23" customFormat="1" ht="21" customHeight="1">
      <c r="A136" s="83"/>
      <c r="B136" s="79"/>
      <c r="C136" s="64">
        <v>4410</v>
      </c>
      <c r="D136" s="37" t="s">
        <v>89</v>
      </c>
      <c r="E136" s="78">
        <v>4000</v>
      </c>
      <c r="F136" s="78"/>
      <c r="G136" s="78">
        <f t="shared" si="146"/>
        <v>4000</v>
      </c>
      <c r="H136" s="78"/>
      <c r="I136" s="78">
        <f t="shared" si="147"/>
        <v>4000</v>
      </c>
      <c r="J136" s="78"/>
      <c r="K136" s="78">
        <f t="shared" si="148"/>
        <v>4000</v>
      </c>
      <c r="L136" s="78"/>
      <c r="M136" s="78">
        <f t="shared" si="149"/>
        <v>4000</v>
      </c>
      <c r="N136" s="78"/>
      <c r="O136" s="78">
        <f t="shared" si="150"/>
        <v>4000</v>
      </c>
      <c r="P136" s="78"/>
      <c r="Q136" s="78">
        <f t="shared" si="151"/>
        <v>4000</v>
      </c>
      <c r="R136" s="78"/>
      <c r="S136" s="78">
        <f t="shared" si="152"/>
        <v>4000</v>
      </c>
      <c r="T136" s="78"/>
      <c r="U136" s="78">
        <f t="shared" si="153"/>
        <v>4000</v>
      </c>
      <c r="V136" s="78"/>
      <c r="W136" s="78">
        <f t="shared" si="154"/>
        <v>4000</v>
      </c>
      <c r="X136" s="78"/>
      <c r="Y136" s="78">
        <f t="shared" si="155"/>
        <v>4000</v>
      </c>
      <c r="Z136" s="78"/>
      <c r="AA136" s="78">
        <f t="shared" si="156"/>
        <v>4000</v>
      </c>
      <c r="AB136" s="78"/>
      <c r="AC136" s="78">
        <f t="shared" si="157"/>
        <v>4000</v>
      </c>
      <c r="AD136" s="78"/>
      <c r="AE136" s="78">
        <f t="shared" si="158"/>
        <v>4000</v>
      </c>
      <c r="AF136" s="78"/>
      <c r="AG136" s="78">
        <f t="shared" si="159"/>
        <v>4000</v>
      </c>
      <c r="AH136" s="78">
        <v>-4000</v>
      </c>
      <c r="AI136" s="78">
        <f t="shared" si="160"/>
        <v>0</v>
      </c>
      <c r="AJ136" s="78"/>
      <c r="AK136" s="78">
        <f t="shared" si="161"/>
        <v>0</v>
      </c>
      <c r="AL136" s="78"/>
      <c r="AM136" s="78">
        <f t="shared" si="162"/>
        <v>0</v>
      </c>
    </row>
    <row r="137" spans="1:39" s="23" customFormat="1" ht="21" customHeight="1">
      <c r="A137" s="83"/>
      <c r="B137" s="79"/>
      <c r="C137" s="83">
        <v>4420</v>
      </c>
      <c r="D137" s="37" t="s">
        <v>92</v>
      </c>
      <c r="E137" s="78">
        <v>10000</v>
      </c>
      <c r="F137" s="78"/>
      <c r="G137" s="78">
        <f t="shared" si="146"/>
        <v>10000</v>
      </c>
      <c r="H137" s="78"/>
      <c r="I137" s="78">
        <f t="shared" si="147"/>
        <v>10000</v>
      </c>
      <c r="J137" s="78"/>
      <c r="K137" s="78">
        <f t="shared" si="148"/>
        <v>10000</v>
      </c>
      <c r="L137" s="78"/>
      <c r="M137" s="78">
        <f t="shared" si="149"/>
        <v>10000</v>
      </c>
      <c r="N137" s="78"/>
      <c r="O137" s="78">
        <f t="shared" si="150"/>
        <v>10000</v>
      </c>
      <c r="P137" s="78"/>
      <c r="Q137" s="78">
        <f t="shared" si="151"/>
        <v>10000</v>
      </c>
      <c r="R137" s="78"/>
      <c r="S137" s="78">
        <f t="shared" si="152"/>
        <v>10000</v>
      </c>
      <c r="T137" s="78"/>
      <c r="U137" s="78">
        <f t="shared" si="153"/>
        <v>10000</v>
      </c>
      <c r="V137" s="78"/>
      <c r="W137" s="78">
        <f t="shared" si="154"/>
        <v>10000</v>
      </c>
      <c r="X137" s="78"/>
      <c r="Y137" s="78">
        <f t="shared" si="155"/>
        <v>10000</v>
      </c>
      <c r="Z137" s="78">
        <v>6800</v>
      </c>
      <c r="AA137" s="78">
        <f t="shared" si="156"/>
        <v>16800</v>
      </c>
      <c r="AB137" s="78"/>
      <c r="AC137" s="78">
        <f t="shared" si="157"/>
        <v>16800</v>
      </c>
      <c r="AD137" s="78"/>
      <c r="AE137" s="78">
        <f t="shared" si="158"/>
        <v>16800</v>
      </c>
      <c r="AF137" s="78"/>
      <c r="AG137" s="78">
        <f t="shared" si="159"/>
        <v>16800</v>
      </c>
      <c r="AH137" s="78">
        <v>-900</v>
      </c>
      <c r="AI137" s="78">
        <f t="shared" si="160"/>
        <v>15900</v>
      </c>
      <c r="AJ137" s="78">
        <v>-5000</v>
      </c>
      <c r="AK137" s="78">
        <f t="shared" si="161"/>
        <v>10900</v>
      </c>
      <c r="AL137" s="78">
        <v>-2970</v>
      </c>
      <c r="AM137" s="78">
        <f t="shared" si="162"/>
        <v>7930</v>
      </c>
    </row>
    <row r="138" spans="1:39" s="23" customFormat="1" ht="21" customHeight="1">
      <c r="A138" s="83"/>
      <c r="B138" s="79"/>
      <c r="C138" s="64">
        <v>4430</v>
      </c>
      <c r="D138" s="37" t="s">
        <v>93</v>
      </c>
      <c r="E138" s="78">
        <v>2000</v>
      </c>
      <c r="F138" s="78"/>
      <c r="G138" s="78">
        <f t="shared" si="146"/>
        <v>2000</v>
      </c>
      <c r="H138" s="78"/>
      <c r="I138" s="78">
        <f t="shared" si="147"/>
        <v>2000</v>
      </c>
      <c r="J138" s="78"/>
      <c r="K138" s="78">
        <f t="shared" si="148"/>
        <v>2000</v>
      </c>
      <c r="L138" s="78"/>
      <c r="M138" s="78">
        <f t="shared" si="149"/>
        <v>2000</v>
      </c>
      <c r="N138" s="78"/>
      <c r="O138" s="78">
        <f t="shared" si="150"/>
        <v>2000</v>
      </c>
      <c r="P138" s="78"/>
      <c r="Q138" s="78">
        <f t="shared" si="151"/>
        <v>2000</v>
      </c>
      <c r="R138" s="78"/>
      <c r="S138" s="78">
        <f t="shared" si="152"/>
        <v>2000</v>
      </c>
      <c r="T138" s="78"/>
      <c r="U138" s="78">
        <f t="shared" si="153"/>
        <v>2000</v>
      </c>
      <c r="V138" s="78"/>
      <c r="W138" s="78">
        <f t="shared" si="154"/>
        <v>2000</v>
      </c>
      <c r="X138" s="78"/>
      <c r="Y138" s="78">
        <f t="shared" si="155"/>
        <v>2000</v>
      </c>
      <c r="Z138" s="78">
        <v>500</v>
      </c>
      <c r="AA138" s="78">
        <f t="shared" si="156"/>
        <v>2500</v>
      </c>
      <c r="AB138" s="78"/>
      <c r="AC138" s="78">
        <f t="shared" si="157"/>
        <v>2500</v>
      </c>
      <c r="AD138" s="78"/>
      <c r="AE138" s="78">
        <f t="shared" si="158"/>
        <v>2500</v>
      </c>
      <c r="AF138" s="78"/>
      <c r="AG138" s="78">
        <f t="shared" si="159"/>
        <v>2500</v>
      </c>
      <c r="AH138" s="78"/>
      <c r="AI138" s="78">
        <f t="shared" si="160"/>
        <v>2500</v>
      </c>
      <c r="AJ138" s="78"/>
      <c r="AK138" s="78">
        <f t="shared" si="161"/>
        <v>2500</v>
      </c>
      <c r="AL138" s="78">
        <v>-2140</v>
      </c>
      <c r="AM138" s="78">
        <f t="shared" si="162"/>
        <v>360</v>
      </c>
    </row>
    <row r="139" spans="1:39" s="23" customFormat="1" ht="24">
      <c r="A139" s="83"/>
      <c r="B139" s="79"/>
      <c r="C139" s="64">
        <v>4740</v>
      </c>
      <c r="D139" s="37" t="s">
        <v>249</v>
      </c>
      <c r="E139" s="78">
        <v>300</v>
      </c>
      <c r="F139" s="78"/>
      <c r="G139" s="78">
        <f t="shared" si="146"/>
        <v>300</v>
      </c>
      <c r="H139" s="78"/>
      <c r="I139" s="78">
        <f t="shared" si="147"/>
        <v>300</v>
      </c>
      <c r="J139" s="78"/>
      <c r="K139" s="78">
        <f t="shared" si="148"/>
        <v>300</v>
      </c>
      <c r="L139" s="78"/>
      <c r="M139" s="78">
        <f t="shared" si="149"/>
        <v>300</v>
      </c>
      <c r="N139" s="78"/>
      <c r="O139" s="78">
        <f t="shared" si="150"/>
        <v>300</v>
      </c>
      <c r="P139" s="78"/>
      <c r="Q139" s="78">
        <f t="shared" si="151"/>
        <v>300</v>
      </c>
      <c r="R139" s="78"/>
      <c r="S139" s="78">
        <f t="shared" si="152"/>
        <v>300</v>
      </c>
      <c r="T139" s="78"/>
      <c r="U139" s="78">
        <f t="shared" si="153"/>
        <v>300</v>
      </c>
      <c r="V139" s="78"/>
      <c r="W139" s="78">
        <f t="shared" si="154"/>
        <v>300</v>
      </c>
      <c r="X139" s="78"/>
      <c r="Y139" s="78">
        <f t="shared" si="155"/>
        <v>300</v>
      </c>
      <c r="Z139" s="78"/>
      <c r="AA139" s="78">
        <f t="shared" si="156"/>
        <v>300</v>
      </c>
      <c r="AB139" s="78"/>
      <c r="AC139" s="78">
        <f t="shared" si="157"/>
        <v>300</v>
      </c>
      <c r="AD139" s="78"/>
      <c r="AE139" s="78">
        <f t="shared" si="158"/>
        <v>300</v>
      </c>
      <c r="AF139" s="78"/>
      <c r="AG139" s="78">
        <f t="shared" si="159"/>
        <v>300</v>
      </c>
      <c r="AH139" s="78"/>
      <c r="AI139" s="78">
        <f t="shared" si="160"/>
        <v>300</v>
      </c>
      <c r="AJ139" s="78"/>
      <c r="AK139" s="78">
        <f t="shared" si="161"/>
        <v>300</v>
      </c>
      <c r="AL139" s="78">
        <v>-112</v>
      </c>
      <c r="AM139" s="78">
        <f t="shared" si="162"/>
        <v>188</v>
      </c>
    </row>
    <row r="140" spans="1:39" s="23" customFormat="1" ht="24">
      <c r="A140" s="83"/>
      <c r="B140" s="79"/>
      <c r="C140" s="64">
        <v>4750</v>
      </c>
      <c r="D140" s="37" t="s">
        <v>222</v>
      </c>
      <c r="E140" s="78">
        <v>500</v>
      </c>
      <c r="F140" s="78"/>
      <c r="G140" s="78">
        <f t="shared" si="146"/>
        <v>500</v>
      </c>
      <c r="H140" s="78"/>
      <c r="I140" s="78">
        <f t="shared" si="147"/>
        <v>500</v>
      </c>
      <c r="J140" s="78"/>
      <c r="K140" s="78">
        <f t="shared" si="148"/>
        <v>500</v>
      </c>
      <c r="L140" s="78"/>
      <c r="M140" s="78">
        <f t="shared" si="149"/>
        <v>500</v>
      </c>
      <c r="N140" s="78"/>
      <c r="O140" s="78">
        <f t="shared" si="150"/>
        <v>500</v>
      </c>
      <c r="P140" s="78"/>
      <c r="Q140" s="78">
        <f t="shared" si="151"/>
        <v>500</v>
      </c>
      <c r="R140" s="78"/>
      <c r="S140" s="78">
        <f t="shared" si="152"/>
        <v>500</v>
      </c>
      <c r="T140" s="78"/>
      <c r="U140" s="78">
        <f t="shared" si="153"/>
        <v>500</v>
      </c>
      <c r="V140" s="78"/>
      <c r="W140" s="78">
        <f t="shared" si="154"/>
        <v>500</v>
      </c>
      <c r="X140" s="78"/>
      <c r="Y140" s="78">
        <f t="shared" si="155"/>
        <v>500</v>
      </c>
      <c r="Z140" s="78"/>
      <c r="AA140" s="78">
        <f t="shared" si="156"/>
        <v>500</v>
      </c>
      <c r="AB140" s="78"/>
      <c r="AC140" s="78">
        <f t="shared" si="157"/>
        <v>500</v>
      </c>
      <c r="AD140" s="78"/>
      <c r="AE140" s="78">
        <f t="shared" si="158"/>
        <v>500</v>
      </c>
      <c r="AF140" s="78"/>
      <c r="AG140" s="78">
        <f t="shared" si="159"/>
        <v>500</v>
      </c>
      <c r="AH140" s="78">
        <v>300</v>
      </c>
      <c r="AI140" s="78">
        <f t="shared" si="160"/>
        <v>800</v>
      </c>
      <c r="AJ140" s="78"/>
      <c r="AK140" s="78">
        <f t="shared" si="161"/>
        <v>800</v>
      </c>
      <c r="AL140" s="78">
        <v>-246</v>
      </c>
      <c r="AM140" s="78">
        <f t="shared" si="162"/>
        <v>554</v>
      </c>
    </row>
    <row r="141" spans="1:39" s="23" customFormat="1" ht="21" customHeight="1">
      <c r="A141" s="83"/>
      <c r="B141" s="79">
        <v>75095</v>
      </c>
      <c r="C141" s="64"/>
      <c r="D141" s="37" t="s">
        <v>6</v>
      </c>
      <c r="E141" s="78">
        <f aca="true" t="shared" si="163" ref="E141:K141">SUM(E142:E145)</f>
        <v>114765</v>
      </c>
      <c r="F141" s="78">
        <f t="shared" si="163"/>
        <v>0</v>
      </c>
      <c r="G141" s="78">
        <f t="shared" si="163"/>
        <v>114765</v>
      </c>
      <c r="H141" s="78">
        <f t="shared" si="163"/>
        <v>0</v>
      </c>
      <c r="I141" s="78">
        <f t="shared" si="163"/>
        <v>114765</v>
      </c>
      <c r="J141" s="78">
        <f t="shared" si="163"/>
        <v>0</v>
      </c>
      <c r="K141" s="78">
        <f t="shared" si="163"/>
        <v>114765</v>
      </c>
      <c r="L141" s="78">
        <f>SUM(L142:L145)</f>
        <v>-1400</v>
      </c>
      <c r="M141" s="78">
        <f>SUM(M142:M145)</f>
        <v>113365</v>
      </c>
      <c r="N141" s="78">
        <f>SUM(N142:N145)</f>
        <v>0</v>
      </c>
      <c r="O141" s="78">
        <f aca="true" t="shared" si="164" ref="O141:U141">SUM(O142:O146)</f>
        <v>113365</v>
      </c>
      <c r="P141" s="78">
        <f t="shared" si="164"/>
        <v>0</v>
      </c>
      <c r="Q141" s="78">
        <f t="shared" si="164"/>
        <v>113365</v>
      </c>
      <c r="R141" s="78">
        <f t="shared" si="164"/>
        <v>0</v>
      </c>
      <c r="S141" s="78">
        <f t="shared" si="164"/>
        <v>113365</v>
      </c>
      <c r="T141" s="78">
        <f t="shared" si="164"/>
        <v>0</v>
      </c>
      <c r="U141" s="78">
        <f t="shared" si="164"/>
        <v>113365</v>
      </c>
      <c r="V141" s="78">
        <f aca="true" t="shared" si="165" ref="V141:AA141">SUM(V142:V146)</f>
        <v>0</v>
      </c>
      <c r="W141" s="78">
        <f t="shared" si="165"/>
        <v>113365</v>
      </c>
      <c r="X141" s="78">
        <f t="shared" si="165"/>
        <v>0</v>
      </c>
      <c r="Y141" s="78">
        <f t="shared" si="165"/>
        <v>113365</v>
      </c>
      <c r="Z141" s="78">
        <f t="shared" si="165"/>
        <v>0</v>
      </c>
      <c r="AA141" s="78">
        <f t="shared" si="165"/>
        <v>113365</v>
      </c>
      <c r="AB141" s="78">
        <f aca="true" t="shared" si="166" ref="AB141:AG141">SUM(AB142:AB146)</f>
        <v>0</v>
      </c>
      <c r="AC141" s="78">
        <f t="shared" si="166"/>
        <v>113365</v>
      </c>
      <c r="AD141" s="78">
        <f t="shared" si="166"/>
        <v>0</v>
      </c>
      <c r="AE141" s="78">
        <f t="shared" si="166"/>
        <v>113365</v>
      </c>
      <c r="AF141" s="78">
        <f t="shared" si="166"/>
        <v>0</v>
      </c>
      <c r="AG141" s="78">
        <f t="shared" si="166"/>
        <v>113365</v>
      </c>
      <c r="AH141" s="78">
        <f aca="true" t="shared" si="167" ref="AH141:AM141">SUM(AH142:AH146)</f>
        <v>0</v>
      </c>
      <c r="AI141" s="78">
        <f t="shared" si="167"/>
        <v>113365</v>
      </c>
      <c r="AJ141" s="78">
        <f t="shared" si="167"/>
        <v>4920</v>
      </c>
      <c r="AK141" s="78">
        <f t="shared" si="167"/>
        <v>118285</v>
      </c>
      <c r="AL141" s="78">
        <f t="shared" si="167"/>
        <v>-6200</v>
      </c>
      <c r="AM141" s="78">
        <f t="shared" si="167"/>
        <v>112085</v>
      </c>
    </row>
    <row r="142" spans="1:39" s="23" customFormat="1" ht="21" customHeight="1">
      <c r="A142" s="83"/>
      <c r="B142" s="79"/>
      <c r="C142" s="64">
        <v>3030</v>
      </c>
      <c r="D142" s="37" t="s">
        <v>88</v>
      </c>
      <c r="E142" s="78">
        <v>60000</v>
      </c>
      <c r="F142" s="78"/>
      <c r="G142" s="78">
        <f>SUM(E142:F142)</f>
        <v>60000</v>
      </c>
      <c r="H142" s="78"/>
      <c r="I142" s="78">
        <f>SUM(G142:H142)</f>
        <v>60000</v>
      </c>
      <c r="J142" s="78"/>
      <c r="K142" s="78">
        <f>SUM(I142:J142)</f>
        <v>60000</v>
      </c>
      <c r="L142" s="78">
        <v>-300</v>
      </c>
      <c r="M142" s="78">
        <f>SUM(K142:L142)</f>
        <v>59700</v>
      </c>
      <c r="N142" s="78"/>
      <c r="O142" s="78">
        <f>SUM(M142:N142)</f>
        <v>59700</v>
      </c>
      <c r="P142" s="78">
        <v>4600</v>
      </c>
      <c r="Q142" s="78">
        <f>SUM(O142:P142)</f>
        <v>64300</v>
      </c>
      <c r="R142" s="78"/>
      <c r="S142" s="78">
        <f>SUM(Q142:R142)</f>
        <v>64300</v>
      </c>
      <c r="T142" s="78"/>
      <c r="U142" s="78">
        <f>SUM(S142:T142)</f>
        <v>64300</v>
      </c>
      <c r="V142" s="78"/>
      <c r="W142" s="78">
        <f>SUM(U142:V142)</f>
        <v>64300</v>
      </c>
      <c r="X142" s="78"/>
      <c r="Y142" s="78">
        <f>SUM(W142:X142)</f>
        <v>64300</v>
      </c>
      <c r="Z142" s="78"/>
      <c r="AA142" s="78">
        <f>SUM(Y142:Z142)</f>
        <v>64300</v>
      </c>
      <c r="AB142" s="78"/>
      <c r="AC142" s="78">
        <f>SUM(AA142:AB142)</f>
        <v>64300</v>
      </c>
      <c r="AD142" s="78"/>
      <c r="AE142" s="78">
        <f>SUM(AC142:AD142)</f>
        <v>64300</v>
      </c>
      <c r="AF142" s="78"/>
      <c r="AG142" s="78">
        <f>SUM(AE142:AF142)</f>
        <v>64300</v>
      </c>
      <c r="AH142" s="78"/>
      <c r="AI142" s="78">
        <f>SUM(AG142:AH142)</f>
        <v>64300</v>
      </c>
      <c r="AJ142" s="78"/>
      <c r="AK142" s="78">
        <f>SUM(AI142:AJ142)</f>
        <v>64300</v>
      </c>
      <c r="AL142" s="78">
        <v>-3000</v>
      </c>
      <c r="AM142" s="78">
        <f>SUM(AK142:AL142)</f>
        <v>61300</v>
      </c>
    </row>
    <row r="143" spans="1:39" s="23" customFormat="1" ht="21" customHeight="1">
      <c r="A143" s="83"/>
      <c r="B143" s="79"/>
      <c r="C143" s="64">
        <v>4210</v>
      </c>
      <c r="D143" s="37" t="s">
        <v>91</v>
      </c>
      <c r="E143" s="78">
        <f>6000+1665</f>
        <v>7665</v>
      </c>
      <c r="F143" s="78"/>
      <c r="G143" s="78">
        <f>SUM(E143:F143)</f>
        <v>7665</v>
      </c>
      <c r="H143" s="78"/>
      <c r="I143" s="78">
        <f>SUM(G143:H143)</f>
        <v>7665</v>
      </c>
      <c r="J143" s="78"/>
      <c r="K143" s="78">
        <f>SUM(I143:J143)</f>
        <v>7665</v>
      </c>
      <c r="L143" s="78"/>
      <c r="M143" s="78">
        <f>SUM(K143:L143)</f>
        <v>7665</v>
      </c>
      <c r="N143" s="78"/>
      <c r="O143" s="78">
        <f>SUM(M143:N143)</f>
        <v>7665</v>
      </c>
      <c r="P143" s="78"/>
      <c r="Q143" s="78">
        <f>SUM(O143:P143)</f>
        <v>7665</v>
      </c>
      <c r="R143" s="78"/>
      <c r="S143" s="78">
        <f>SUM(Q143:R143)</f>
        <v>7665</v>
      </c>
      <c r="T143" s="78"/>
      <c r="U143" s="78">
        <f>SUM(S143:T143)</f>
        <v>7665</v>
      </c>
      <c r="V143" s="78"/>
      <c r="W143" s="78">
        <f>SUM(U143:V143)</f>
        <v>7665</v>
      </c>
      <c r="X143" s="78"/>
      <c r="Y143" s="78">
        <f>SUM(W143:X143)</f>
        <v>7665</v>
      </c>
      <c r="Z143" s="78"/>
      <c r="AA143" s="78">
        <f>SUM(Y143:Z143)</f>
        <v>7665</v>
      </c>
      <c r="AB143" s="78"/>
      <c r="AC143" s="78">
        <f>SUM(AA143:AB143)</f>
        <v>7665</v>
      </c>
      <c r="AD143" s="78"/>
      <c r="AE143" s="78">
        <f>SUM(AC143:AD143)</f>
        <v>7665</v>
      </c>
      <c r="AF143" s="78"/>
      <c r="AG143" s="78">
        <f>SUM(AE143:AF143)</f>
        <v>7665</v>
      </c>
      <c r="AH143" s="78"/>
      <c r="AI143" s="78">
        <f>SUM(AG143:AH143)</f>
        <v>7665</v>
      </c>
      <c r="AJ143" s="78">
        <v>-80</v>
      </c>
      <c r="AK143" s="78">
        <f>SUM(AI143:AJ143)</f>
        <v>7585</v>
      </c>
      <c r="AL143" s="78">
        <v>-3200</v>
      </c>
      <c r="AM143" s="78">
        <f>SUM(AK143:AL143)</f>
        <v>4385</v>
      </c>
    </row>
    <row r="144" spans="1:39" s="23" customFormat="1" ht="21" customHeight="1">
      <c r="A144" s="83"/>
      <c r="B144" s="79"/>
      <c r="C144" s="64">
        <v>4410</v>
      </c>
      <c r="D144" s="37" t="s">
        <v>89</v>
      </c>
      <c r="E144" s="78">
        <v>6000</v>
      </c>
      <c r="F144" s="78"/>
      <c r="G144" s="78">
        <f>SUM(E144:F144)</f>
        <v>6000</v>
      </c>
      <c r="H144" s="78"/>
      <c r="I144" s="78">
        <f>SUM(G144:H144)</f>
        <v>6000</v>
      </c>
      <c r="J144" s="78"/>
      <c r="K144" s="78">
        <f>SUM(I144:J144)</f>
        <v>6000</v>
      </c>
      <c r="L144" s="78">
        <v>-1100</v>
      </c>
      <c r="M144" s="78">
        <f>SUM(K144:L144)</f>
        <v>4900</v>
      </c>
      <c r="N144" s="78"/>
      <c r="O144" s="78">
        <f>SUM(M144:N144)</f>
        <v>4900</v>
      </c>
      <c r="P144" s="78">
        <v>-4900</v>
      </c>
      <c r="Q144" s="78">
        <f>SUM(O144:P144)</f>
        <v>0</v>
      </c>
      <c r="R144" s="78"/>
      <c r="S144" s="78">
        <f>SUM(Q144:R144)</f>
        <v>0</v>
      </c>
      <c r="T144" s="78"/>
      <c r="U144" s="78">
        <f>SUM(S144:T144)</f>
        <v>0</v>
      </c>
      <c r="V144" s="78"/>
      <c r="W144" s="78">
        <f>SUM(U144:V144)</f>
        <v>0</v>
      </c>
      <c r="X144" s="78"/>
      <c r="Y144" s="78">
        <f>SUM(W144:X144)</f>
        <v>0</v>
      </c>
      <c r="Z144" s="78"/>
      <c r="AA144" s="78">
        <f>SUM(Y144:Z144)</f>
        <v>0</v>
      </c>
      <c r="AB144" s="78"/>
      <c r="AC144" s="78">
        <f>SUM(AA144:AB144)</f>
        <v>0</v>
      </c>
      <c r="AD144" s="78"/>
      <c r="AE144" s="78">
        <f>SUM(AC144:AD144)</f>
        <v>0</v>
      </c>
      <c r="AF144" s="78"/>
      <c r="AG144" s="78">
        <f>SUM(AE144:AF144)</f>
        <v>0</v>
      </c>
      <c r="AH144" s="78"/>
      <c r="AI144" s="78">
        <f>SUM(AG144:AH144)</f>
        <v>0</v>
      </c>
      <c r="AJ144" s="78"/>
      <c r="AK144" s="78">
        <f>SUM(AI144:AJ144)</f>
        <v>0</v>
      </c>
      <c r="AL144" s="78"/>
      <c r="AM144" s="78">
        <f>SUM(AK144:AL144)</f>
        <v>0</v>
      </c>
    </row>
    <row r="145" spans="1:39" s="23" customFormat="1" ht="21" customHeight="1">
      <c r="A145" s="83"/>
      <c r="B145" s="79"/>
      <c r="C145" s="64">
        <v>4430</v>
      </c>
      <c r="D145" s="37" t="s">
        <v>93</v>
      </c>
      <c r="E145" s="78">
        <v>41100</v>
      </c>
      <c r="F145" s="78"/>
      <c r="G145" s="78">
        <f>SUM(E145:F145)</f>
        <v>41100</v>
      </c>
      <c r="H145" s="78"/>
      <c r="I145" s="78">
        <f>SUM(G145:H145)</f>
        <v>41100</v>
      </c>
      <c r="J145" s="78"/>
      <c r="K145" s="78">
        <f>SUM(I145:J145)</f>
        <v>41100</v>
      </c>
      <c r="L145" s="78"/>
      <c r="M145" s="78">
        <f>SUM(K145:L145)</f>
        <v>41100</v>
      </c>
      <c r="N145" s="78"/>
      <c r="O145" s="78">
        <f>SUM(M145:N145)</f>
        <v>41100</v>
      </c>
      <c r="P145" s="78"/>
      <c r="Q145" s="78">
        <f>SUM(O145:P145)</f>
        <v>41100</v>
      </c>
      <c r="R145" s="78"/>
      <c r="S145" s="78">
        <f>SUM(Q145:R145)</f>
        <v>41100</v>
      </c>
      <c r="T145" s="78"/>
      <c r="U145" s="78">
        <f>SUM(S145:T145)</f>
        <v>41100</v>
      </c>
      <c r="V145" s="78"/>
      <c r="W145" s="78">
        <f>SUM(U145:V145)</f>
        <v>41100</v>
      </c>
      <c r="X145" s="78"/>
      <c r="Y145" s="78">
        <f>SUM(W145:X145)</f>
        <v>41100</v>
      </c>
      <c r="Z145" s="78"/>
      <c r="AA145" s="78">
        <f>SUM(Y145:Z145)</f>
        <v>41100</v>
      </c>
      <c r="AB145" s="78"/>
      <c r="AC145" s="78">
        <f>SUM(AA145:AB145)</f>
        <v>41100</v>
      </c>
      <c r="AD145" s="78"/>
      <c r="AE145" s="78">
        <f>SUM(AC145:AD145)</f>
        <v>41100</v>
      </c>
      <c r="AF145" s="78"/>
      <c r="AG145" s="78">
        <f>SUM(AE145:AF145)</f>
        <v>41100</v>
      </c>
      <c r="AH145" s="78"/>
      <c r="AI145" s="78">
        <f>SUM(AG145:AH145)</f>
        <v>41100</v>
      </c>
      <c r="AJ145" s="78">
        <v>5000</v>
      </c>
      <c r="AK145" s="78">
        <f>SUM(AI145:AJ145)</f>
        <v>46100</v>
      </c>
      <c r="AL145" s="78"/>
      <c r="AM145" s="78">
        <f>SUM(AK145:AL145)</f>
        <v>46100</v>
      </c>
    </row>
    <row r="146" spans="1:39" s="23" customFormat="1" ht="24">
      <c r="A146" s="83"/>
      <c r="B146" s="79"/>
      <c r="C146" s="64">
        <v>4610</v>
      </c>
      <c r="D146" s="37" t="s">
        <v>180</v>
      </c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>
        <v>0</v>
      </c>
      <c r="P146" s="78">
        <v>300</v>
      </c>
      <c r="Q146" s="78">
        <f>SUM(O146:P146)</f>
        <v>300</v>
      </c>
      <c r="R146" s="78"/>
      <c r="S146" s="78">
        <f>SUM(Q146:R146)</f>
        <v>300</v>
      </c>
      <c r="T146" s="78"/>
      <c r="U146" s="78">
        <f>SUM(S146:T146)</f>
        <v>300</v>
      </c>
      <c r="V146" s="78"/>
      <c r="W146" s="78">
        <f>SUM(U146:V146)</f>
        <v>300</v>
      </c>
      <c r="X146" s="78"/>
      <c r="Y146" s="78">
        <f>SUM(W146:X146)</f>
        <v>300</v>
      </c>
      <c r="Z146" s="78"/>
      <c r="AA146" s="78">
        <f>SUM(Y146:Z146)</f>
        <v>300</v>
      </c>
      <c r="AB146" s="78"/>
      <c r="AC146" s="78">
        <f>SUM(AA146:AB146)</f>
        <v>300</v>
      </c>
      <c r="AD146" s="78"/>
      <c r="AE146" s="78">
        <f>SUM(AC146:AD146)</f>
        <v>300</v>
      </c>
      <c r="AF146" s="78"/>
      <c r="AG146" s="78">
        <f>SUM(AE146:AF146)</f>
        <v>300</v>
      </c>
      <c r="AH146" s="78"/>
      <c r="AI146" s="78">
        <f>SUM(AG146:AH146)</f>
        <v>300</v>
      </c>
      <c r="AJ146" s="78"/>
      <c r="AK146" s="78">
        <f>SUM(AI146:AJ146)</f>
        <v>300</v>
      </c>
      <c r="AL146" s="78"/>
      <c r="AM146" s="78">
        <f>SUM(AK146:AL146)</f>
        <v>300</v>
      </c>
    </row>
    <row r="147" spans="1:39" s="5" customFormat="1" ht="36">
      <c r="A147" s="32">
        <v>751</v>
      </c>
      <c r="B147" s="33"/>
      <c r="C147" s="34"/>
      <c r="D147" s="35" t="s">
        <v>97</v>
      </c>
      <c r="E147" s="36">
        <f aca="true" t="shared" si="168" ref="E147:P147">SUM(E148)</f>
        <v>3952</v>
      </c>
      <c r="F147" s="36">
        <f t="shared" si="168"/>
        <v>0</v>
      </c>
      <c r="G147" s="36">
        <f t="shared" si="168"/>
        <v>3952</v>
      </c>
      <c r="H147" s="36">
        <f t="shared" si="168"/>
        <v>0</v>
      </c>
      <c r="I147" s="36">
        <f t="shared" si="168"/>
        <v>3952</v>
      </c>
      <c r="J147" s="36">
        <f t="shared" si="168"/>
        <v>0</v>
      </c>
      <c r="K147" s="36">
        <f t="shared" si="168"/>
        <v>3952</v>
      </c>
      <c r="L147" s="36">
        <f t="shared" si="168"/>
        <v>0</v>
      </c>
      <c r="M147" s="36">
        <f t="shared" si="168"/>
        <v>3952</v>
      </c>
      <c r="N147" s="36">
        <f t="shared" si="168"/>
        <v>0</v>
      </c>
      <c r="O147" s="36">
        <f t="shared" si="168"/>
        <v>3952</v>
      </c>
      <c r="P147" s="36">
        <f t="shared" si="168"/>
        <v>0</v>
      </c>
      <c r="Q147" s="36">
        <f aca="true" t="shared" si="169" ref="Q147:W147">SUM(Q148,Q152)</f>
        <v>3952</v>
      </c>
      <c r="R147" s="36">
        <f t="shared" si="169"/>
        <v>20663</v>
      </c>
      <c r="S147" s="36">
        <f t="shared" si="169"/>
        <v>24615</v>
      </c>
      <c r="T147" s="36">
        <f t="shared" si="169"/>
        <v>21375</v>
      </c>
      <c r="U147" s="36">
        <f t="shared" si="169"/>
        <v>45990</v>
      </c>
      <c r="V147" s="36">
        <f t="shared" si="169"/>
        <v>11000</v>
      </c>
      <c r="W147" s="36">
        <f t="shared" si="169"/>
        <v>56990</v>
      </c>
      <c r="X147" s="36">
        <f aca="true" t="shared" si="170" ref="X147:AC147">SUM(X148,X152)</f>
        <v>21375</v>
      </c>
      <c r="Y147" s="36">
        <f t="shared" si="170"/>
        <v>78365</v>
      </c>
      <c r="Z147" s="36">
        <f t="shared" si="170"/>
        <v>0</v>
      </c>
      <c r="AA147" s="36">
        <f t="shared" si="170"/>
        <v>78365</v>
      </c>
      <c r="AB147" s="36">
        <f t="shared" si="170"/>
        <v>0</v>
      </c>
      <c r="AC147" s="36">
        <f t="shared" si="170"/>
        <v>78365</v>
      </c>
      <c r="AD147" s="36">
        <f>SUM(AD148,AD152)</f>
        <v>0</v>
      </c>
      <c r="AE147" s="36">
        <f>SUM(AE148,AE152)</f>
        <v>78365</v>
      </c>
      <c r="AF147" s="36">
        <f>SUM(AF148,AF152)</f>
        <v>0</v>
      </c>
      <c r="AG147" s="36">
        <f>SUM(AG148,AG152)</f>
        <v>78365</v>
      </c>
      <c r="AH147" s="36">
        <f>SUM(AH148,AH152)</f>
        <v>0</v>
      </c>
      <c r="AI147" s="36">
        <f>SUM(AI148,AI152,AI165)</f>
        <v>78365</v>
      </c>
      <c r="AJ147" s="36">
        <f>SUM(AJ148,AJ152,AJ165)</f>
        <v>85887</v>
      </c>
      <c r="AK147" s="36">
        <f>SUM(AK148,AK152,AK165)</f>
        <v>164252</v>
      </c>
      <c r="AL147" s="36">
        <f>SUM(AL148,AL152,AL165)</f>
        <v>0</v>
      </c>
      <c r="AM147" s="36">
        <f>SUM(AM148,AM152,AM165)</f>
        <v>164252</v>
      </c>
    </row>
    <row r="148" spans="1:39" s="23" customFormat="1" ht="28.5" customHeight="1">
      <c r="A148" s="83"/>
      <c r="B148" s="79">
        <v>75101</v>
      </c>
      <c r="C148" s="83"/>
      <c r="D148" s="37" t="s">
        <v>21</v>
      </c>
      <c r="E148" s="78">
        <f aca="true" t="shared" si="171" ref="E148:W148">SUM(E149:E151)</f>
        <v>3952</v>
      </c>
      <c r="F148" s="78">
        <f t="shared" si="171"/>
        <v>0</v>
      </c>
      <c r="G148" s="78">
        <f t="shared" si="171"/>
        <v>3952</v>
      </c>
      <c r="H148" s="78">
        <f t="shared" si="171"/>
        <v>0</v>
      </c>
      <c r="I148" s="78">
        <f t="shared" si="171"/>
        <v>3952</v>
      </c>
      <c r="J148" s="78">
        <f t="shared" si="171"/>
        <v>0</v>
      </c>
      <c r="K148" s="78">
        <f t="shared" si="171"/>
        <v>3952</v>
      </c>
      <c r="L148" s="78">
        <f t="shared" si="171"/>
        <v>0</v>
      </c>
      <c r="M148" s="78">
        <f t="shared" si="171"/>
        <v>3952</v>
      </c>
      <c r="N148" s="78">
        <f t="shared" si="171"/>
        <v>0</v>
      </c>
      <c r="O148" s="78">
        <f t="shared" si="171"/>
        <v>3952</v>
      </c>
      <c r="P148" s="78">
        <f t="shared" si="171"/>
        <v>0</v>
      </c>
      <c r="Q148" s="78">
        <f t="shared" si="171"/>
        <v>3952</v>
      </c>
      <c r="R148" s="78">
        <f t="shared" si="171"/>
        <v>0</v>
      </c>
      <c r="S148" s="78">
        <f t="shared" si="171"/>
        <v>3952</v>
      </c>
      <c r="T148" s="78">
        <f t="shared" si="171"/>
        <v>0</v>
      </c>
      <c r="U148" s="78">
        <f t="shared" si="171"/>
        <v>3952</v>
      </c>
      <c r="V148" s="78">
        <f t="shared" si="171"/>
        <v>0</v>
      </c>
      <c r="W148" s="78">
        <f t="shared" si="171"/>
        <v>3952</v>
      </c>
      <c r="X148" s="78">
        <f aca="true" t="shared" si="172" ref="X148:AC148">SUM(X149:X151)</f>
        <v>0</v>
      </c>
      <c r="Y148" s="78">
        <f t="shared" si="172"/>
        <v>3952</v>
      </c>
      <c r="Z148" s="78">
        <f t="shared" si="172"/>
        <v>0</v>
      </c>
      <c r="AA148" s="78">
        <f t="shared" si="172"/>
        <v>3952</v>
      </c>
      <c r="AB148" s="78">
        <f t="shared" si="172"/>
        <v>0</v>
      </c>
      <c r="AC148" s="78">
        <f t="shared" si="172"/>
        <v>3952</v>
      </c>
      <c r="AD148" s="78">
        <f aca="true" t="shared" si="173" ref="AD148:AI148">SUM(AD149:AD151)</f>
        <v>0</v>
      </c>
      <c r="AE148" s="78">
        <f t="shared" si="173"/>
        <v>3952</v>
      </c>
      <c r="AF148" s="78">
        <f t="shared" si="173"/>
        <v>0</v>
      </c>
      <c r="AG148" s="78">
        <f t="shared" si="173"/>
        <v>3952</v>
      </c>
      <c r="AH148" s="78">
        <f t="shared" si="173"/>
        <v>0</v>
      </c>
      <c r="AI148" s="78">
        <f t="shared" si="173"/>
        <v>3952</v>
      </c>
      <c r="AJ148" s="78">
        <f>SUM(AJ149:AJ151)</f>
        <v>0</v>
      </c>
      <c r="AK148" s="78">
        <f>SUM(AK149:AK151)</f>
        <v>3952</v>
      </c>
      <c r="AL148" s="78">
        <f>SUM(AL149:AL151)</f>
        <v>0</v>
      </c>
      <c r="AM148" s="78">
        <f>SUM(AM149:AM151)</f>
        <v>3952</v>
      </c>
    </row>
    <row r="149" spans="1:42" s="23" customFormat="1" ht="21.75" customHeight="1">
      <c r="A149" s="83"/>
      <c r="B149" s="79"/>
      <c r="C149" s="83">
        <v>4010</v>
      </c>
      <c r="D149" s="37" t="s">
        <v>83</v>
      </c>
      <c r="E149" s="78">
        <v>3360</v>
      </c>
      <c r="F149" s="78"/>
      <c r="G149" s="78">
        <f>SUM(E149:F149)</f>
        <v>3360</v>
      </c>
      <c r="H149" s="78"/>
      <c r="I149" s="78">
        <f>SUM(G149:H149)</f>
        <v>3360</v>
      </c>
      <c r="J149" s="78"/>
      <c r="K149" s="78">
        <f>SUM(I149:J149)</f>
        <v>3360</v>
      </c>
      <c r="L149" s="78"/>
      <c r="M149" s="78">
        <f>SUM(K149:L149)</f>
        <v>3360</v>
      </c>
      <c r="N149" s="78"/>
      <c r="O149" s="78">
        <f>SUM(M149:N149)</f>
        <v>3360</v>
      </c>
      <c r="P149" s="78"/>
      <c r="Q149" s="78">
        <f>SUM(O149:P149)</f>
        <v>3360</v>
      </c>
      <c r="R149" s="78"/>
      <c r="S149" s="78">
        <f>SUM(Q149:R149)</f>
        <v>3360</v>
      </c>
      <c r="T149" s="78"/>
      <c r="U149" s="78">
        <f>SUM(S149:T149)</f>
        <v>3360</v>
      </c>
      <c r="V149" s="78"/>
      <c r="W149" s="78">
        <f>SUM(U149:V149)</f>
        <v>3360</v>
      </c>
      <c r="X149" s="78"/>
      <c r="Y149" s="78">
        <f>SUM(W149:X149)</f>
        <v>3360</v>
      </c>
      <c r="Z149" s="78"/>
      <c r="AA149" s="78">
        <f>SUM(Y149:Z149)</f>
        <v>3360</v>
      </c>
      <c r="AB149" s="78"/>
      <c r="AC149" s="78">
        <f>SUM(AA149:AB149)</f>
        <v>3360</v>
      </c>
      <c r="AD149" s="78"/>
      <c r="AE149" s="78">
        <f>SUM(AC149:AD149)</f>
        <v>3360</v>
      </c>
      <c r="AF149" s="78"/>
      <c r="AG149" s="78">
        <f>SUM(AE149:AF149)</f>
        <v>3360</v>
      </c>
      <c r="AH149" s="78"/>
      <c r="AI149" s="78">
        <f>SUM(AG149:AH149)</f>
        <v>3360</v>
      </c>
      <c r="AJ149" s="78"/>
      <c r="AK149" s="78">
        <f>SUM(AI149:AJ149)</f>
        <v>3360</v>
      </c>
      <c r="AL149" s="78"/>
      <c r="AM149" s="78">
        <f>SUM(AK149:AL149)</f>
        <v>3360</v>
      </c>
      <c r="AN149" s="113"/>
      <c r="AO149" s="113"/>
      <c r="AP149" s="113"/>
    </row>
    <row r="150" spans="1:42" s="23" customFormat="1" ht="18.75" customHeight="1">
      <c r="A150" s="83"/>
      <c r="B150" s="79"/>
      <c r="C150" s="83">
        <v>4110</v>
      </c>
      <c r="D150" s="37" t="s">
        <v>85</v>
      </c>
      <c r="E150" s="78">
        <v>510</v>
      </c>
      <c r="F150" s="78"/>
      <c r="G150" s="78">
        <f>SUM(E150:F150)</f>
        <v>510</v>
      </c>
      <c r="H150" s="78"/>
      <c r="I150" s="78">
        <f>SUM(G150:H150)</f>
        <v>510</v>
      </c>
      <c r="J150" s="78"/>
      <c r="K150" s="78">
        <f>SUM(I150:J150)</f>
        <v>510</v>
      </c>
      <c r="L150" s="78"/>
      <c r="M150" s="78">
        <f>SUM(K150:L150)</f>
        <v>510</v>
      </c>
      <c r="N150" s="78"/>
      <c r="O150" s="78">
        <f>SUM(M150:N150)</f>
        <v>510</v>
      </c>
      <c r="P150" s="78"/>
      <c r="Q150" s="78">
        <f>SUM(O150:P150)</f>
        <v>510</v>
      </c>
      <c r="R150" s="78"/>
      <c r="S150" s="78">
        <f>SUM(Q150:R150)</f>
        <v>510</v>
      </c>
      <c r="T150" s="78"/>
      <c r="U150" s="78">
        <f>SUM(S150:T150)</f>
        <v>510</v>
      </c>
      <c r="V150" s="78"/>
      <c r="W150" s="78">
        <f>SUM(U150:V150)</f>
        <v>510</v>
      </c>
      <c r="X150" s="78"/>
      <c r="Y150" s="78">
        <f>SUM(W150:X150)</f>
        <v>510</v>
      </c>
      <c r="Z150" s="78"/>
      <c r="AA150" s="78">
        <f>SUM(Y150:Z150)</f>
        <v>510</v>
      </c>
      <c r="AB150" s="78"/>
      <c r="AC150" s="78">
        <f>SUM(AA150:AB150)</f>
        <v>510</v>
      </c>
      <c r="AD150" s="78"/>
      <c r="AE150" s="78">
        <f>SUM(AC150:AD150)</f>
        <v>510</v>
      </c>
      <c r="AF150" s="78"/>
      <c r="AG150" s="78">
        <f>SUM(AE150:AF150)</f>
        <v>510</v>
      </c>
      <c r="AH150" s="78"/>
      <c r="AI150" s="78">
        <f>SUM(AG150:AH150)</f>
        <v>510</v>
      </c>
      <c r="AJ150" s="78"/>
      <c r="AK150" s="78">
        <f>SUM(AI150:AJ150)</f>
        <v>510</v>
      </c>
      <c r="AL150" s="78"/>
      <c r="AM150" s="78">
        <f>SUM(AK150:AL150)</f>
        <v>510</v>
      </c>
      <c r="AN150" s="113"/>
      <c r="AO150" s="113"/>
      <c r="AP150" s="113"/>
    </row>
    <row r="151" spans="1:42" s="23" customFormat="1" ht="19.5" customHeight="1">
      <c r="A151" s="83"/>
      <c r="B151" s="79"/>
      <c r="C151" s="83">
        <v>4120</v>
      </c>
      <c r="D151" s="37" t="s">
        <v>86</v>
      </c>
      <c r="E151" s="78">
        <v>82</v>
      </c>
      <c r="F151" s="78"/>
      <c r="G151" s="78">
        <f>SUM(E151:F151)</f>
        <v>82</v>
      </c>
      <c r="H151" s="78"/>
      <c r="I151" s="78">
        <f>SUM(G151:H151)</f>
        <v>82</v>
      </c>
      <c r="J151" s="78"/>
      <c r="K151" s="78">
        <f>SUM(I151:J151)</f>
        <v>82</v>
      </c>
      <c r="L151" s="78"/>
      <c r="M151" s="78">
        <f>SUM(K151:L151)</f>
        <v>82</v>
      </c>
      <c r="N151" s="78"/>
      <c r="O151" s="78">
        <f>SUM(M151:N151)</f>
        <v>82</v>
      </c>
      <c r="P151" s="78"/>
      <c r="Q151" s="78">
        <f>SUM(O151:P151)</f>
        <v>82</v>
      </c>
      <c r="R151" s="78"/>
      <c r="S151" s="78">
        <f>SUM(Q151:R151)</f>
        <v>82</v>
      </c>
      <c r="T151" s="78"/>
      <c r="U151" s="78">
        <f>SUM(S151:T151)</f>
        <v>82</v>
      </c>
      <c r="V151" s="78"/>
      <c r="W151" s="78">
        <f>SUM(U151:V151)</f>
        <v>82</v>
      </c>
      <c r="X151" s="78"/>
      <c r="Y151" s="78">
        <f>SUM(W151:X151)</f>
        <v>82</v>
      </c>
      <c r="Z151" s="78"/>
      <c r="AA151" s="78">
        <f>SUM(Y151:Z151)</f>
        <v>82</v>
      </c>
      <c r="AB151" s="78"/>
      <c r="AC151" s="78">
        <f>SUM(AA151:AB151)</f>
        <v>82</v>
      </c>
      <c r="AD151" s="78"/>
      <c r="AE151" s="78">
        <f>SUM(AC151:AD151)</f>
        <v>82</v>
      </c>
      <c r="AF151" s="78"/>
      <c r="AG151" s="78">
        <f>SUM(AE151:AF151)</f>
        <v>82</v>
      </c>
      <c r="AH151" s="78"/>
      <c r="AI151" s="78">
        <f>SUM(AG151:AH151)</f>
        <v>82</v>
      </c>
      <c r="AJ151" s="78"/>
      <c r="AK151" s="78">
        <f>SUM(AI151:AJ151)</f>
        <v>82</v>
      </c>
      <c r="AL151" s="78"/>
      <c r="AM151" s="78">
        <f>SUM(AK151:AL151)</f>
        <v>82</v>
      </c>
      <c r="AN151" s="113"/>
      <c r="AO151" s="113"/>
      <c r="AP151" s="113"/>
    </row>
    <row r="152" spans="1:39" s="23" customFormat="1" ht="24">
      <c r="A152" s="83"/>
      <c r="B152" s="79">
        <v>75107</v>
      </c>
      <c r="C152" s="83"/>
      <c r="D152" s="37" t="s">
        <v>392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>
        <f>SUM(Q154:Q163)</f>
        <v>0</v>
      </c>
      <c r="R152" s="78">
        <f>SUM(R154:R163)</f>
        <v>20663</v>
      </c>
      <c r="S152" s="78">
        <f>SUM(S153:S163)</f>
        <v>20663</v>
      </c>
      <c r="T152" s="78">
        <f>SUM(T153:T163)</f>
        <v>21375</v>
      </c>
      <c r="U152" s="78">
        <f aca="true" t="shared" si="174" ref="U152:AA152">SUM(U153:U164)</f>
        <v>42038</v>
      </c>
      <c r="V152" s="78">
        <f t="shared" si="174"/>
        <v>11000</v>
      </c>
      <c r="W152" s="78">
        <f t="shared" si="174"/>
        <v>53038</v>
      </c>
      <c r="X152" s="78">
        <f t="shared" si="174"/>
        <v>21375</v>
      </c>
      <c r="Y152" s="78">
        <f t="shared" si="174"/>
        <v>74413</v>
      </c>
      <c r="Z152" s="78">
        <f t="shared" si="174"/>
        <v>0</v>
      </c>
      <c r="AA152" s="78">
        <f t="shared" si="174"/>
        <v>74413</v>
      </c>
      <c r="AB152" s="78">
        <f aca="true" t="shared" si="175" ref="AB152:AG152">SUM(AB153:AB164)</f>
        <v>0</v>
      </c>
      <c r="AC152" s="78">
        <f t="shared" si="175"/>
        <v>74413</v>
      </c>
      <c r="AD152" s="78">
        <f t="shared" si="175"/>
        <v>0</v>
      </c>
      <c r="AE152" s="78">
        <f t="shared" si="175"/>
        <v>74413</v>
      </c>
      <c r="AF152" s="78">
        <f t="shared" si="175"/>
        <v>0</v>
      </c>
      <c r="AG152" s="78">
        <f t="shared" si="175"/>
        <v>74413</v>
      </c>
      <c r="AH152" s="78">
        <f aca="true" t="shared" si="176" ref="AH152:AM152">SUM(AH153:AH164)</f>
        <v>0</v>
      </c>
      <c r="AI152" s="78">
        <f t="shared" si="176"/>
        <v>74413</v>
      </c>
      <c r="AJ152" s="78">
        <f t="shared" si="176"/>
        <v>0</v>
      </c>
      <c r="AK152" s="78">
        <f t="shared" si="176"/>
        <v>74413</v>
      </c>
      <c r="AL152" s="78">
        <f t="shared" si="176"/>
        <v>0</v>
      </c>
      <c r="AM152" s="78">
        <f t="shared" si="176"/>
        <v>74413</v>
      </c>
    </row>
    <row r="153" spans="1:39" s="23" customFormat="1" ht="21" customHeight="1">
      <c r="A153" s="83"/>
      <c r="B153" s="79"/>
      <c r="C153" s="83">
        <v>3030</v>
      </c>
      <c r="D153" s="37" t="s">
        <v>88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>
        <v>0</v>
      </c>
      <c r="T153" s="78">
        <v>21375</v>
      </c>
      <c r="U153" s="78">
        <f>SUM(S153:T153)</f>
        <v>21375</v>
      </c>
      <c r="V153" s="78"/>
      <c r="W153" s="78">
        <f>SUM(U153:V153)</f>
        <v>21375</v>
      </c>
      <c r="X153" s="78">
        <v>21375</v>
      </c>
      <c r="Y153" s="78">
        <f>SUM(W153:X153)</f>
        <v>42750</v>
      </c>
      <c r="Z153" s="78"/>
      <c r="AA153" s="78">
        <f>SUM(Y153:Z153)</f>
        <v>42750</v>
      </c>
      <c r="AB153" s="78"/>
      <c r="AC153" s="78">
        <f>SUM(AA153:AB153)</f>
        <v>42750</v>
      </c>
      <c r="AD153" s="78"/>
      <c r="AE153" s="78">
        <f aca="true" t="shared" si="177" ref="AE153:AE164">SUM(AC153:AD153)</f>
        <v>42750</v>
      </c>
      <c r="AF153" s="78"/>
      <c r="AG153" s="78">
        <f aca="true" t="shared" si="178" ref="AG153:AG164">SUM(AE153:AF153)</f>
        <v>42750</v>
      </c>
      <c r="AH153" s="78"/>
      <c r="AI153" s="78">
        <f aca="true" t="shared" si="179" ref="AI153:AI164">SUM(AG153:AH153)</f>
        <v>42750</v>
      </c>
      <c r="AJ153" s="78"/>
      <c r="AK153" s="78">
        <f aca="true" t="shared" si="180" ref="AK153:AK164">SUM(AI153:AJ153)</f>
        <v>42750</v>
      </c>
      <c r="AL153" s="78"/>
      <c r="AM153" s="78">
        <f aca="true" t="shared" si="181" ref="AM153:AM164">SUM(AK153:AL153)</f>
        <v>42750</v>
      </c>
    </row>
    <row r="154" spans="1:42" s="23" customFormat="1" ht="19.5" customHeight="1">
      <c r="A154" s="83"/>
      <c r="B154" s="79"/>
      <c r="C154" s="83">
        <v>4110</v>
      </c>
      <c r="D154" s="37" t="s">
        <v>85</v>
      </c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>
        <v>0</v>
      </c>
      <c r="R154" s="78">
        <v>570</v>
      </c>
      <c r="S154" s="78">
        <f>SUM(Q154:R154)</f>
        <v>570</v>
      </c>
      <c r="T154" s="78"/>
      <c r="U154" s="78">
        <f>SUM(S154:T154)</f>
        <v>570</v>
      </c>
      <c r="V154" s="78">
        <v>493</v>
      </c>
      <c r="W154" s="78">
        <f>SUM(U154:V154)</f>
        <v>1063</v>
      </c>
      <c r="X154" s="78"/>
      <c r="Y154" s="78">
        <f>SUM(W154:X154)</f>
        <v>1063</v>
      </c>
      <c r="Z154" s="78">
        <v>118</v>
      </c>
      <c r="AA154" s="78">
        <f>SUM(Y154:Z154)</f>
        <v>1181</v>
      </c>
      <c r="AB154" s="78"/>
      <c r="AC154" s="78">
        <f>SUM(AA154:AB154)</f>
        <v>1181</v>
      </c>
      <c r="AD154" s="78"/>
      <c r="AE154" s="78">
        <f t="shared" si="177"/>
        <v>1181</v>
      </c>
      <c r="AF154" s="78"/>
      <c r="AG154" s="78">
        <f t="shared" si="178"/>
        <v>1181</v>
      </c>
      <c r="AH154" s="78"/>
      <c r="AI154" s="78">
        <f t="shared" si="179"/>
        <v>1181</v>
      </c>
      <c r="AJ154" s="78"/>
      <c r="AK154" s="78">
        <f t="shared" si="180"/>
        <v>1181</v>
      </c>
      <c r="AL154" s="78"/>
      <c r="AM154" s="78">
        <f t="shared" si="181"/>
        <v>1181</v>
      </c>
      <c r="AN154" s="113"/>
      <c r="AO154" s="113"/>
      <c r="AP154" s="113"/>
    </row>
    <row r="155" spans="1:42" s="23" customFormat="1" ht="19.5" customHeight="1">
      <c r="A155" s="83"/>
      <c r="B155" s="79"/>
      <c r="C155" s="83">
        <v>4120</v>
      </c>
      <c r="D155" s="37" t="s">
        <v>217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>
        <v>0</v>
      </c>
      <c r="R155" s="78">
        <v>100</v>
      </c>
      <c r="S155" s="78">
        <f aca="true" t="shared" si="182" ref="S155:S163">SUM(Q155:R155)</f>
        <v>100</v>
      </c>
      <c r="T155" s="78"/>
      <c r="U155" s="78">
        <f aca="true" t="shared" si="183" ref="U155:U163">SUM(S155:T155)</f>
        <v>100</v>
      </c>
      <c r="V155" s="78">
        <v>71</v>
      </c>
      <c r="W155" s="78">
        <f aca="true" t="shared" si="184" ref="W155:W164">SUM(U155:V155)</f>
        <v>171</v>
      </c>
      <c r="X155" s="78"/>
      <c r="Y155" s="78">
        <f aca="true" t="shared" si="185" ref="Y155:Y164">SUM(W155:X155)</f>
        <v>171</v>
      </c>
      <c r="Z155" s="78">
        <v>3</v>
      </c>
      <c r="AA155" s="78">
        <f aca="true" t="shared" si="186" ref="AA155:AA164">SUM(Y155:Z155)</f>
        <v>174</v>
      </c>
      <c r="AB155" s="78"/>
      <c r="AC155" s="78">
        <f aca="true" t="shared" si="187" ref="AC155:AC164">SUM(AA155:AB155)</f>
        <v>174</v>
      </c>
      <c r="AD155" s="78"/>
      <c r="AE155" s="78">
        <f t="shared" si="177"/>
        <v>174</v>
      </c>
      <c r="AF155" s="78"/>
      <c r="AG155" s="78">
        <f t="shared" si="178"/>
        <v>174</v>
      </c>
      <c r="AH155" s="78"/>
      <c r="AI155" s="78">
        <f t="shared" si="179"/>
        <v>174</v>
      </c>
      <c r="AJ155" s="78"/>
      <c r="AK155" s="78">
        <f t="shared" si="180"/>
        <v>174</v>
      </c>
      <c r="AL155" s="78"/>
      <c r="AM155" s="78">
        <f t="shared" si="181"/>
        <v>174</v>
      </c>
      <c r="AN155" s="113"/>
      <c r="AO155" s="113"/>
      <c r="AP155" s="113"/>
    </row>
    <row r="156" spans="1:42" s="23" customFormat="1" ht="19.5" customHeight="1">
      <c r="A156" s="83"/>
      <c r="B156" s="79"/>
      <c r="C156" s="83">
        <v>4170</v>
      </c>
      <c r="D156" s="37" t="s">
        <v>189</v>
      </c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>
        <v>0</v>
      </c>
      <c r="R156" s="78">
        <v>7480</v>
      </c>
      <c r="S156" s="78">
        <f t="shared" si="182"/>
        <v>7480</v>
      </c>
      <c r="T156" s="78"/>
      <c r="U156" s="78">
        <f t="shared" si="183"/>
        <v>7480</v>
      </c>
      <c r="V156" s="78">
        <v>4475</v>
      </c>
      <c r="W156" s="78">
        <f t="shared" si="184"/>
        <v>11955</v>
      </c>
      <c r="X156" s="78"/>
      <c r="Y156" s="78">
        <f t="shared" si="185"/>
        <v>11955</v>
      </c>
      <c r="Z156" s="78">
        <v>921</v>
      </c>
      <c r="AA156" s="78">
        <f t="shared" si="186"/>
        <v>12876</v>
      </c>
      <c r="AB156" s="78"/>
      <c r="AC156" s="78">
        <f t="shared" si="187"/>
        <v>12876</v>
      </c>
      <c r="AD156" s="78"/>
      <c r="AE156" s="78">
        <f t="shared" si="177"/>
        <v>12876</v>
      </c>
      <c r="AF156" s="78"/>
      <c r="AG156" s="78">
        <f t="shared" si="178"/>
        <v>12876</v>
      </c>
      <c r="AH156" s="78"/>
      <c r="AI156" s="78">
        <f t="shared" si="179"/>
        <v>12876</v>
      </c>
      <c r="AJ156" s="78"/>
      <c r="AK156" s="78">
        <f t="shared" si="180"/>
        <v>12876</v>
      </c>
      <c r="AL156" s="78"/>
      <c r="AM156" s="78">
        <f t="shared" si="181"/>
        <v>12876</v>
      </c>
      <c r="AN156" s="113"/>
      <c r="AO156" s="113"/>
      <c r="AP156" s="113"/>
    </row>
    <row r="157" spans="1:39" s="23" customFormat="1" ht="19.5" customHeight="1">
      <c r="A157" s="83"/>
      <c r="B157" s="79"/>
      <c r="C157" s="83">
        <v>4210</v>
      </c>
      <c r="D157" s="37" t="s">
        <v>91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>
        <v>0</v>
      </c>
      <c r="R157" s="78">
        <v>8141</v>
      </c>
      <c r="S157" s="78">
        <f t="shared" si="182"/>
        <v>8141</v>
      </c>
      <c r="T157" s="78">
        <v>-200</v>
      </c>
      <c r="U157" s="78">
        <f t="shared" si="183"/>
        <v>7941</v>
      </c>
      <c r="V157" s="78">
        <v>4130</v>
      </c>
      <c r="W157" s="78">
        <f t="shared" si="184"/>
        <v>12071</v>
      </c>
      <c r="X157" s="78">
        <v>-521</v>
      </c>
      <c r="Y157" s="78">
        <f t="shared" si="185"/>
        <v>11550</v>
      </c>
      <c r="Z157" s="78">
        <v>-102</v>
      </c>
      <c r="AA157" s="78">
        <f t="shared" si="186"/>
        <v>11448</v>
      </c>
      <c r="AB157" s="78"/>
      <c r="AC157" s="78">
        <f t="shared" si="187"/>
        <v>11448</v>
      </c>
      <c r="AD157" s="78"/>
      <c r="AE157" s="78">
        <f t="shared" si="177"/>
        <v>11448</v>
      </c>
      <c r="AF157" s="78"/>
      <c r="AG157" s="78">
        <f t="shared" si="178"/>
        <v>11448</v>
      </c>
      <c r="AH157" s="78"/>
      <c r="AI157" s="78">
        <f t="shared" si="179"/>
        <v>11448</v>
      </c>
      <c r="AJ157" s="78"/>
      <c r="AK157" s="78">
        <f t="shared" si="180"/>
        <v>11448</v>
      </c>
      <c r="AL157" s="78"/>
      <c r="AM157" s="78">
        <f t="shared" si="181"/>
        <v>11448</v>
      </c>
    </row>
    <row r="158" spans="1:39" s="23" customFormat="1" ht="19.5" customHeight="1">
      <c r="A158" s="83"/>
      <c r="B158" s="79"/>
      <c r="C158" s="83">
        <v>4270</v>
      </c>
      <c r="D158" s="37" t="s">
        <v>77</v>
      </c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>
        <v>0</v>
      </c>
      <c r="R158" s="78">
        <v>1000</v>
      </c>
      <c r="S158" s="78">
        <f t="shared" si="182"/>
        <v>1000</v>
      </c>
      <c r="T158" s="78">
        <v>-200</v>
      </c>
      <c r="U158" s="78">
        <f t="shared" si="183"/>
        <v>800</v>
      </c>
      <c r="V158" s="78"/>
      <c r="W158" s="78">
        <f t="shared" si="184"/>
        <v>800</v>
      </c>
      <c r="X158" s="78">
        <v>-245</v>
      </c>
      <c r="Y158" s="78">
        <f t="shared" si="185"/>
        <v>555</v>
      </c>
      <c r="Z158" s="78"/>
      <c r="AA158" s="78">
        <f t="shared" si="186"/>
        <v>555</v>
      </c>
      <c r="AB158" s="78"/>
      <c r="AC158" s="78">
        <f t="shared" si="187"/>
        <v>555</v>
      </c>
      <c r="AD158" s="78"/>
      <c r="AE158" s="78">
        <f t="shared" si="177"/>
        <v>555</v>
      </c>
      <c r="AF158" s="78"/>
      <c r="AG158" s="78">
        <f t="shared" si="178"/>
        <v>555</v>
      </c>
      <c r="AH158" s="78"/>
      <c r="AI158" s="78">
        <f t="shared" si="179"/>
        <v>555</v>
      </c>
      <c r="AJ158" s="78"/>
      <c r="AK158" s="78">
        <f t="shared" si="180"/>
        <v>555</v>
      </c>
      <c r="AL158" s="78"/>
      <c r="AM158" s="78">
        <f t="shared" si="181"/>
        <v>555</v>
      </c>
    </row>
    <row r="159" spans="1:39" s="23" customFormat="1" ht="19.5" customHeight="1">
      <c r="A159" s="83"/>
      <c r="B159" s="79"/>
      <c r="C159" s="83">
        <v>4300</v>
      </c>
      <c r="D159" s="37" t="s">
        <v>78</v>
      </c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>
        <v>0</v>
      </c>
      <c r="R159" s="78">
        <v>400</v>
      </c>
      <c r="S159" s="78">
        <f t="shared" si="182"/>
        <v>400</v>
      </c>
      <c r="T159" s="78">
        <v>200</v>
      </c>
      <c r="U159" s="78">
        <f t="shared" si="183"/>
        <v>600</v>
      </c>
      <c r="V159" s="78">
        <v>24</v>
      </c>
      <c r="W159" s="78">
        <f t="shared" si="184"/>
        <v>624</v>
      </c>
      <c r="X159" s="78">
        <v>-126</v>
      </c>
      <c r="Y159" s="78">
        <f t="shared" si="185"/>
        <v>498</v>
      </c>
      <c r="Z159" s="78"/>
      <c r="AA159" s="78">
        <f t="shared" si="186"/>
        <v>498</v>
      </c>
      <c r="AB159" s="78"/>
      <c r="AC159" s="78">
        <f t="shared" si="187"/>
        <v>498</v>
      </c>
      <c r="AD159" s="78"/>
      <c r="AE159" s="78">
        <f t="shared" si="177"/>
        <v>498</v>
      </c>
      <c r="AF159" s="78"/>
      <c r="AG159" s="78">
        <f t="shared" si="178"/>
        <v>498</v>
      </c>
      <c r="AH159" s="78"/>
      <c r="AI159" s="78">
        <f t="shared" si="179"/>
        <v>498</v>
      </c>
      <c r="AJ159" s="78"/>
      <c r="AK159" s="78">
        <f t="shared" si="180"/>
        <v>498</v>
      </c>
      <c r="AL159" s="78"/>
      <c r="AM159" s="78">
        <f t="shared" si="181"/>
        <v>498</v>
      </c>
    </row>
    <row r="160" spans="1:39" s="23" customFormat="1" ht="19.5" customHeight="1">
      <c r="A160" s="83"/>
      <c r="B160" s="79"/>
      <c r="C160" s="83">
        <v>4410</v>
      </c>
      <c r="D160" s="37" t="s">
        <v>89</v>
      </c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>
        <v>0</v>
      </c>
      <c r="R160" s="78">
        <v>1300</v>
      </c>
      <c r="S160" s="78">
        <f t="shared" si="182"/>
        <v>1300</v>
      </c>
      <c r="T160" s="78"/>
      <c r="U160" s="78">
        <f t="shared" si="183"/>
        <v>1300</v>
      </c>
      <c r="V160" s="78">
        <v>1100</v>
      </c>
      <c r="W160" s="78">
        <f t="shared" si="184"/>
        <v>2400</v>
      </c>
      <c r="X160" s="78">
        <v>1386</v>
      </c>
      <c r="Y160" s="78">
        <f t="shared" si="185"/>
        <v>3786</v>
      </c>
      <c r="Z160" s="78">
        <v>-940</v>
      </c>
      <c r="AA160" s="78">
        <f t="shared" si="186"/>
        <v>2846</v>
      </c>
      <c r="AB160" s="78"/>
      <c r="AC160" s="78">
        <f t="shared" si="187"/>
        <v>2846</v>
      </c>
      <c r="AD160" s="78"/>
      <c r="AE160" s="78">
        <f t="shared" si="177"/>
        <v>2846</v>
      </c>
      <c r="AF160" s="78"/>
      <c r="AG160" s="78">
        <f t="shared" si="178"/>
        <v>2846</v>
      </c>
      <c r="AH160" s="78"/>
      <c r="AI160" s="78">
        <f t="shared" si="179"/>
        <v>2846</v>
      </c>
      <c r="AJ160" s="78"/>
      <c r="AK160" s="78">
        <f t="shared" si="180"/>
        <v>2846</v>
      </c>
      <c r="AL160" s="78"/>
      <c r="AM160" s="78">
        <f t="shared" si="181"/>
        <v>2846</v>
      </c>
    </row>
    <row r="161" spans="1:39" s="23" customFormat="1" ht="24">
      <c r="A161" s="83"/>
      <c r="B161" s="79"/>
      <c r="C161" s="83">
        <v>4700</v>
      </c>
      <c r="D161" s="37" t="s">
        <v>234</v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>
        <v>0</v>
      </c>
      <c r="R161" s="78">
        <v>372</v>
      </c>
      <c r="S161" s="78">
        <f t="shared" si="182"/>
        <v>372</v>
      </c>
      <c r="T161" s="78"/>
      <c r="U161" s="78">
        <f t="shared" si="183"/>
        <v>372</v>
      </c>
      <c r="V161" s="78"/>
      <c r="W161" s="78">
        <f t="shared" si="184"/>
        <v>372</v>
      </c>
      <c r="X161" s="78"/>
      <c r="Y161" s="78">
        <f t="shared" si="185"/>
        <v>372</v>
      </c>
      <c r="Z161" s="78"/>
      <c r="AA161" s="78">
        <f t="shared" si="186"/>
        <v>372</v>
      </c>
      <c r="AB161" s="78"/>
      <c r="AC161" s="78">
        <f t="shared" si="187"/>
        <v>372</v>
      </c>
      <c r="AD161" s="78"/>
      <c r="AE161" s="78">
        <f t="shared" si="177"/>
        <v>372</v>
      </c>
      <c r="AF161" s="78"/>
      <c r="AG161" s="78">
        <f t="shared" si="178"/>
        <v>372</v>
      </c>
      <c r="AH161" s="78"/>
      <c r="AI161" s="78">
        <f t="shared" si="179"/>
        <v>372</v>
      </c>
      <c r="AJ161" s="78"/>
      <c r="AK161" s="78">
        <f t="shared" si="180"/>
        <v>372</v>
      </c>
      <c r="AL161" s="78"/>
      <c r="AM161" s="78">
        <f t="shared" si="181"/>
        <v>372</v>
      </c>
    </row>
    <row r="162" spans="1:39" s="23" customFormat="1" ht="24">
      <c r="A162" s="83"/>
      <c r="B162" s="79"/>
      <c r="C162" s="83">
        <v>4740</v>
      </c>
      <c r="D162" s="37" t="s">
        <v>249</v>
      </c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>
        <v>0</v>
      </c>
      <c r="R162" s="78">
        <v>600</v>
      </c>
      <c r="S162" s="78">
        <f t="shared" si="182"/>
        <v>600</v>
      </c>
      <c r="T162" s="78"/>
      <c r="U162" s="78">
        <f t="shared" si="183"/>
        <v>600</v>
      </c>
      <c r="V162" s="78">
        <v>200</v>
      </c>
      <c r="W162" s="78">
        <f t="shared" si="184"/>
        <v>800</v>
      </c>
      <c r="X162" s="78">
        <v>-371</v>
      </c>
      <c r="Y162" s="78">
        <f t="shared" si="185"/>
        <v>429</v>
      </c>
      <c r="Z162" s="78"/>
      <c r="AA162" s="78">
        <f t="shared" si="186"/>
        <v>429</v>
      </c>
      <c r="AB162" s="78"/>
      <c r="AC162" s="78">
        <f t="shared" si="187"/>
        <v>429</v>
      </c>
      <c r="AD162" s="78"/>
      <c r="AE162" s="78">
        <f t="shared" si="177"/>
        <v>429</v>
      </c>
      <c r="AF162" s="78"/>
      <c r="AG162" s="78">
        <f t="shared" si="178"/>
        <v>429</v>
      </c>
      <c r="AH162" s="78"/>
      <c r="AI162" s="78">
        <f t="shared" si="179"/>
        <v>429</v>
      </c>
      <c r="AJ162" s="78"/>
      <c r="AK162" s="78">
        <f t="shared" si="180"/>
        <v>429</v>
      </c>
      <c r="AL162" s="78"/>
      <c r="AM162" s="78">
        <f t="shared" si="181"/>
        <v>429</v>
      </c>
    </row>
    <row r="163" spans="1:39" s="23" customFormat="1" ht="24">
      <c r="A163" s="83"/>
      <c r="B163" s="79"/>
      <c r="C163" s="83">
        <v>4750</v>
      </c>
      <c r="D163" s="37" t="s">
        <v>222</v>
      </c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>
        <v>0</v>
      </c>
      <c r="R163" s="78">
        <v>700</v>
      </c>
      <c r="S163" s="78">
        <f t="shared" si="182"/>
        <v>700</v>
      </c>
      <c r="T163" s="78">
        <v>200</v>
      </c>
      <c r="U163" s="78">
        <f t="shared" si="183"/>
        <v>900</v>
      </c>
      <c r="V163" s="78">
        <v>500</v>
      </c>
      <c r="W163" s="78">
        <f t="shared" si="184"/>
        <v>1400</v>
      </c>
      <c r="X163" s="78">
        <v>-123</v>
      </c>
      <c r="Y163" s="78">
        <f t="shared" si="185"/>
        <v>1277</v>
      </c>
      <c r="Z163" s="78"/>
      <c r="AA163" s="78">
        <f t="shared" si="186"/>
        <v>1277</v>
      </c>
      <c r="AB163" s="78"/>
      <c r="AC163" s="78">
        <f t="shared" si="187"/>
        <v>1277</v>
      </c>
      <c r="AD163" s="78"/>
      <c r="AE163" s="78">
        <f t="shared" si="177"/>
        <v>1277</v>
      </c>
      <c r="AF163" s="78"/>
      <c r="AG163" s="78">
        <f t="shared" si="178"/>
        <v>1277</v>
      </c>
      <c r="AH163" s="78"/>
      <c r="AI163" s="78">
        <f t="shared" si="179"/>
        <v>1277</v>
      </c>
      <c r="AJ163" s="78"/>
      <c r="AK163" s="78">
        <f t="shared" si="180"/>
        <v>1277</v>
      </c>
      <c r="AL163" s="78"/>
      <c r="AM163" s="78">
        <f t="shared" si="181"/>
        <v>1277</v>
      </c>
    </row>
    <row r="164" spans="1:39" s="23" customFormat="1" ht="28.5" customHeight="1">
      <c r="A164" s="83"/>
      <c r="B164" s="79"/>
      <c r="C164" s="83">
        <v>4780</v>
      </c>
      <c r="D164" s="37" t="s">
        <v>385</v>
      </c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>
        <v>0</v>
      </c>
      <c r="V164" s="78">
        <v>7</v>
      </c>
      <c r="W164" s="78">
        <f t="shared" si="184"/>
        <v>7</v>
      </c>
      <c r="X164" s="78"/>
      <c r="Y164" s="78">
        <f t="shared" si="185"/>
        <v>7</v>
      </c>
      <c r="Z164" s="78"/>
      <c r="AA164" s="78">
        <f t="shared" si="186"/>
        <v>7</v>
      </c>
      <c r="AB164" s="78"/>
      <c r="AC164" s="78">
        <f t="shared" si="187"/>
        <v>7</v>
      </c>
      <c r="AD164" s="78"/>
      <c r="AE164" s="78">
        <f t="shared" si="177"/>
        <v>7</v>
      </c>
      <c r="AF164" s="78"/>
      <c r="AG164" s="78">
        <f t="shared" si="178"/>
        <v>7</v>
      </c>
      <c r="AH164" s="78"/>
      <c r="AI164" s="78">
        <f t="shared" si="179"/>
        <v>7</v>
      </c>
      <c r="AJ164" s="78"/>
      <c r="AK164" s="78">
        <f t="shared" si="180"/>
        <v>7</v>
      </c>
      <c r="AL164" s="78"/>
      <c r="AM164" s="78">
        <f t="shared" si="181"/>
        <v>7</v>
      </c>
    </row>
    <row r="165" spans="1:39" s="23" customFormat="1" ht="46.5" customHeight="1">
      <c r="A165" s="83"/>
      <c r="B165" s="79">
        <v>75109</v>
      </c>
      <c r="C165" s="83"/>
      <c r="D165" s="74" t="s">
        <v>464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>
        <f>SUM(AI166:AI177)</f>
        <v>0</v>
      </c>
      <c r="AJ165" s="78">
        <f>SUM(AJ166:AJ177)</f>
        <v>85887</v>
      </c>
      <c r="AK165" s="78">
        <f>SUM(AK166:AK177)</f>
        <v>85887</v>
      </c>
      <c r="AL165" s="78">
        <f>SUM(AL166:AL177)</f>
        <v>0</v>
      </c>
      <c r="AM165" s="78">
        <f>SUM(AM166:AM177)</f>
        <v>85887</v>
      </c>
    </row>
    <row r="166" spans="1:39" s="23" customFormat="1" ht="21" customHeight="1">
      <c r="A166" s="83"/>
      <c r="B166" s="79"/>
      <c r="C166" s="83">
        <v>3030</v>
      </c>
      <c r="D166" s="37" t="s">
        <v>88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>
        <v>0</v>
      </c>
      <c r="AJ166" s="78">
        <v>51080</v>
      </c>
      <c r="AK166" s="78">
        <f>SUM(AI166:AJ166)</f>
        <v>51080</v>
      </c>
      <c r="AL166" s="78"/>
      <c r="AM166" s="78">
        <f>SUM(AK166:AL166)</f>
        <v>51080</v>
      </c>
    </row>
    <row r="167" spans="1:39" s="23" customFormat="1" ht="21" customHeight="1">
      <c r="A167" s="83"/>
      <c r="B167" s="79"/>
      <c r="C167" s="83">
        <v>4110</v>
      </c>
      <c r="D167" s="37" t="s">
        <v>85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>
        <v>0</v>
      </c>
      <c r="AJ167" s="78">
        <v>609</v>
      </c>
      <c r="AK167" s="78">
        <f>SUM(AI167:AJ167)</f>
        <v>609</v>
      </c>
      <c r="AL167" s="78"/>
      <c r="AM167" s="78">
        <f>SUM(AK167:AL167)</f>
        <v>609</v>
      </c>
    </row>
    <row r="168" spans="1:39" s="23" customFormat="1" ht="21" customHeight="1">
      <c r="A168" s="83"/>
      <c r="B168" s="79"/>
      <c r="C168" s="83">
        <v>4120</v>
      </c>
      <c r="D168" s="37" t="s">
        <v>217</v>
      </c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>
        <v>0</v>
      </c>
      <c r="AJ168" s="78">
        <v>98</v>
      </c>
      <c r="AK168" s="78">
        <f>SUM(AI168:AJ168)</f>
        <v>98</v>
      </c>
      <c r="AL168" s="78"/>
      <c r="AM168" s="78">
        <f>SUM(AK168:AL168)</f>
        <v>98</v>
      </c>
    </row>
    <row r="169" spans="1:39" s="23" customFormat="1" ht="21" customHeight="1">
      <c r="A169" s="83"/>
      <c r="B169" s="79"/>
      <c r="C169" s="83">
        <v>4170</v>
      </c>
      <c r="D169" s="37" t="s">
        <v>189</v>
      </c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>
        <v>0</v>
      </c>
      <c r="AJ169" s="78">
        <v>10840</v>
      </c>
      <c r="AK169" s="78">
        <f>SUM(AI169:AJ169)</f>
        <v>10840</v>
      </c>
      <c r="AL169" s="78"/>
      <c r="AM169" s="78">
        <f>SUM(AK169:AL169)</f>
        <v>10840</v>
      </c>
    </row>
    <row r="170" spans="1:39" s="23" customFormat="1" ht="21" customHeight="1">
      <c r="A170" s="83"/>
      <c r="B170" s="79"/>
      <c r="C170" s="83">
        <v>4210</v>
      </c>
      <c r="D170" s="37" t="s">
        <v>91</v>
      </c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>
        <v>0</v>
      </c>
      <c r="AJ170" s="78">
        <v>10000</v>
      </c>
      <c r="AK170" s="78">
        <f>SUM(AI170:AJ170)</f>
        <v>10000</v>
      </c>
      <c r="AL170" s="78">
        <v>-442</v>
      </c>
      <c r="AM170" s="78">
        <f>SUM(AK170:AL170)</f>
        <v>9558</v>
      </c>
    </row>
    <row r="171" spans="1:39" s="23" customFormat="1" ht="21" customHeight="1">
      <c r="A171" s="83"/>
      <c r="B171" s="79"/>
      <c r="C171" s="83">
        <v>4270</v>
      </c>
      <c r="D171" s="37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>
        <v>0</v>
      </c>
      <c r="AJ171" s="78">
        <v>350</v>
      </c>
      <c r="AK171" s="78">
        <f aca="true" t="shared" si="188" ref="AK171:AK177">SUM(AI171:AJ171)</f>
        <v>350</v>
      </c>
      <c r="AL171" s="78">
        <v>372</v>
      </c>
      <c r="AM171" s="78">
        <f aca="true" t="shared" si="189" ref="AM171:AM177">SUM(AK171:AL171)</f>
        <v>722</v>
      </c>
    </row>
    <row r="172" spans="1:39" s="23" customFormat="1" ht="21" customHeight="1">
      <c r="A172" s="83"/>
      <c r="B172" s="79"/>
      <c r="C172" s="83">
        <v>4300</v>
      </c>
      <c r="D172" s="37" t="s">
        <v>78</v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>
        <v>0</v>
      </c>
      <c r="AJ172" s="78">
        <v>7500</v>
      </c>
      <c r="AK172" s="78">
        <f t="shared" si="188"/>
        <v>7500</v>
      </c>
      <c r="AL172" s="78"/>
      <c r="AM172" s="78">
        <f t="shared" si="189"/>
        <v>7500</v>
      </c>
    </row>
    <row r="173" spans="1:39" s="23" customFormat="1" ht="21" customHeight="1">
      <c r="A173" s="83"/>
      <c r="B173" s="79"/>
      <c r="C173" s="83">
        <v>4410</v>
      </c>
      <c r="D173" s="37" t="s">
        <v>89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>
        <v>0</v>
      </c>
      <c r="AJ173" s="78">
        <v>3000</v>
      </c>
      <c r="AK173" s="78">
        <f t="shared" si="188"/>
        <v>3000</v>
      </c>
      <c r="AL173" s="78"/>
      <c r="AM173" s="78">
        <f t="shared" si="189"/>
        <v>3000</v>
      </c>
    </row>
    <row r="174" spans="1:39" s="23" customFormat="1" ht="28.5" customHeight="1">
      <c r="A174" s="83"/>
      <c r="B174" s="79"/>
      <c r="C174" s="83">
        <v>4700</v>
      </c>
      <c r="D174" s="37" t="s">
        <v>234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>
        <v>0</v>
      </c>
      <c r="AJ174" s="78">
        <v>300</v>
      </c>
      <c r="AK174" s="78">
        <f t="shared" si="188"/>
        <v>300</v>
      </c>
      <c r="AL174" s="78">
        <v>-114</v>
      </c>
      <c r="AM174" s="78">
        <f t="shared" si="189"/>
        <v>186</v>
      </c>
    </row>
    <row r="175" spans="1:39" s="23" customFormat="1" ht="28.5" customHeight="1">
      <c r="A175" s="83"/>
      <c r="B175" s="79"/>
      <c r="C175" s="83">
        <v>4740</v>
      </c>
      <c r="D175" s="37" t="s">
        <v>249</v>
      </c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>
        <v>0</v>
      </c>
      <c r="AJ175" s="78">
        <v>800</v>
      </c>
      <c r="AK175" s="78">
        <f t="shared" si="188"/>
        <v>800</v>
      </c>
      <c r="AL175" s="78">
        <v>-134</v>
      </c>
      <c r="AM175" s="78">
        <f t="shared" si="189"/>
        <v>666</v>
      </c>
    </row>
    <row r="176" spans="1:39" s="23" customFormat="1" ht="28.5" customHeight="1">
      <c r="A176" s="83"/>
      <c r="B176" s="79"/>
      <c r="C176" s="83">
        <v>4750</v>
      </c>
      <c r="D176" s="37" t="s">
        <v>222</v>
      </c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>
        <v>0</v>
      </c>
      <c r="AJ176" s="78">
        <v>1300</v>
      </c>
      <c r="AK176" s="78">
        <f t="shared" si="188"/>
        <v>1300</v>
      </c>
      <c r="AL176" s="78">
        <v>318</v>
      </c>
      <c r="AM176" s="78">
        <f t="shared" si="189"/>
        <v>1618</v>
      </c>
    </row>
    <row r="177" spans="1:39" s="23" customFormat="1" ht="28.5" customHeight="1">
      <c r="A177" s="83"/>
      <c r="B177" s="79"/>
      <c r="C177" s="83">
        <v>4780</v>
      </c>
      <c r="D177" s="37" t="s">
        <v>385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>
        <v>0</v>
      </c>
      <c r="AJ177" s="78">
        <v>10</v>
      </c>
      <c r="AK177" s="78">
        <f t="shared" si="188"/>
        <v>10</v>
      </c>
      <c r="AL177" s="78"/>
      <c r="AM177" s="78">
        <f t="shared" si="189"/>
        <v>10</v>
      </c>
    </row>
    <row r="178" spans="1:39" s="5" customFormat="1" ht="24.75" customHeight="1">
      <c r="A178" s="32" t="s">
        <v>22</v>
      </c>
      <c r="B178" s="33"/>
      <c r="C178" s="34"/>
      <c r="D178" s="35" t="s">
        <v>23</v>
      </c>
      <c r="E178" s="36">
        <f aca="true" t="shared" si="190" ref="E178:J178">SUM(E184,E200,E221,)</f>
        <v>481515</v>
      </c>
      <c r="F178" s="36">
        <f t="shared" si="190"/>
        <v>290000</v>
      </c>
      <c r="G178" s="36">
        <f t="shared" si="190"/>
        <v>771515</v>
      </c>
      <c r="H178" s="36">
        <f t="shared" si="190"/>
        <v>0</v>
      </c>
      <c r="I178" s="36">
        <f t="shared" si="190"/>
        <v>771515</v>
      </c>
      <c r="J178" s="36">
        <f t="shared" si="190"/>
        <v>0</v>
      </c>
      <c r="K178" s="36">
        <f aca="true" t="shared" si="191" ref="K178:W178">SUM(K184,K200,K221,K218)</f>
        <v>771515</v>
      </c>
      <c r="L178" s="36">
        <f t="shared" si="191"/>
        <v>5289</v>
      </c>
      <c r="M178" s="36">
        <f t="shared" si="191"/>
        <v>776804</v>
      </c>
      <c r="N178" s="36">
        <f t="shared" si="191"/>
        <v>0</v>
      </c>
      <c r="O178" s="36">
        <f t="shared" si="191"/>
        <v>776804</v>
      </c>
      <c r="P178" s="36">
        <f t="shared" si="191"/>
        <v>0</v>
      </c>
      <c r="Q178" s="36">
        <f t="shared" si="191"/>
        <v>776804</v>
      </c>
      <c r="R178" s="36">
        <f t="shared" si="191"/>
        <v>-70000</v>
      </c>
      <c r="S178" s="36">
        <f t="shared" si="191"/>
        <v>706804</v>
      </c>
      <c r="T178" s="36">
        <f t="shared" si="191"/>
        <v>0</v>
      </c>
      <c r="U178" s="36">
        <f t="shared" si="191"/>
        <v>706804</v>
      </c>
      <c r="V178" s="36">
        <f t="shared" si="191"/>
        <v>0</v>
      </c>
      <c r="W178" s="36">
        <f t="shared" si="191"/>
        <v>706804</v>
      </c>
      <c r="X178" s="36">
        <f>SUM(X184,X200,X221,X218)</f>
        <v>0</v>
      </c>
      <c r="Y178" s="36">
        <f aca="true" t="shared" si="192" ref="Y178:AE178">SUM(Y184,Y200,Y221,Y218,Y179)</f>
        <v>706804</v>
      </c>
      <c r="Z178" s="36">
        <f t="shared" si="192"/>
        <v>8000</v>
      </c>
      <c r="AA178" s="36">
        <f t="shared" si="192"/>
        <v>714804</v>
      </c>
      <c r="AB178" s="36">
        <f t="shared" si="192"/>
        <v>0</v>
      </c>
      <c r="AC178" s="36">
        <f t="shared" si="192"/>
        <v>714804</v>
      </c>
      <c r="AD178" s="36">
        <f t="shared" si="192"/>
        <v>1000</v>
      </c>
      <c r="AE178" s="36">
        <f t="shared" si="192"/>
        <v>715804</v>
      </c>
      <c r="AF178" s="36">
        <f aca="true" t="shared" si="193" ref="AF178:AK178">SUM(AF184,AF200,AF221,AF218,AF179)</f>
        <v>0</v>
      </c>
      <c r="AG178" s="36">
        <f t="shared" si="193"/>
        <v>715804</v>
      </c>
      <c r="AH178" s="36">
        <f t="shared" si="193"/>
        <v>0</v>
      </c>
      <c r="AI178" s="36">
        <f t="shared" si="193"/>
        <v>715804</v>
      </c>
      <c r="AJ178" s="36">
        <f t="shared" si="193"/>
        <v>13064</v>
      </c>
      <c r="AK178" s="36">
        <f t="shared" si="193"/>
        <v>728868</v>
      </c>
      <c r="AL178" s="36">
        <f>SUM(AL184,AL200,AL221,AL218,AL179)</f>
        <v>4000</v>
      </c>
      <c r="AM178" s="36">
        <f>SUM(AM184,AM200,AM221,AM218,AM179)</f>
        <v>732868</v>
      </c>
    </row>
    <row r="179" spans="1:39" s="122" customFormat="1" ht="24.75" customHeight="1">
      <c r="A179" s="64"/>
      <c r="B179" s="84">
        <v>75405</v>
      </c>
      <c r="C179" s="83"/>
      <c r="D179" s="37" t="s">
        <v>425</v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>
        <f>SUM(Y183)</f>
        <v>0</v>
      </c>
      <c r="Z179" s="78">
        <f>SUM(Z183)</f>
        <v>8000</v>
      </c>
      <c r="AA179" s="78">
        <f>SUM(AA183)</f>
        <v>8000</v>
      </c>
      <c r="AB179" s="78">
        <f>SUM(AB183)</f>
        <v>0</v>
      </c>
      <c r="AC179" s="78">
        <f aca="true" t="shared" si="194" ref="AC179:AI179">SUM(AC180:AC183)</f>
        <v>8000</v>
      </c>
      <c r="AD179" s="78">
        <f t="shared" si="194"/>
        <v>1000</v>
      </c>
      <c r="AE179" s="78">
        <f t="shared" si="194"/>
        <v>9000</v>
      </c>
      <c r="AF179" s="78">
        <f t="shared" si="194"/>
        <v>0</v>
      </c>
      <c r="AG179" s="78">
        <f t="shared" si="194"/>
        <v>9000</v>
      </c>
      <c r="AH179" s="78">
        <f t="shared" si="194"/>
        <v>0</v>
      </c>
      <c r="AI179" s="78">
        <f t="shared" si="194"/>
        <v>9000</v>
      </c>
      <c r="AJ179" s="78">
        <f>SUM(AJ180:AJ183)</f>
        <v>-2400</v>
      </c>
      <c r="AK179" s="78">
        <f>SUM(AK180:AK183)</f>
        <v>6600</v>
      </c>
      <c r="AL179" s="78">
        <f>SUM(AL180:AL183)</f>
        <v>0</v>
      </c>
      <c r="AM179" s="78">
        <f>SUM(AM180:AM183)</f>
        <v>6600</v>
      </c>
    </row>
    <row r="180" spans="1:39" s="122" customFormat="1" ht="21" customHeight="1">
      <c r="A180" s="64"/>
      <c r="B180" s="84"/>
      <c r="C180" s="83">
        <v>4210</v>
      </c>
      <c r="D180" s="37" t="s">
        <v>91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>
        <v>0</v>
      </c>
      <c r="AD180" s="78">
        <v>284</v>
      </c>
      <c r="AE180" s="78">
        <f>SUM(AC180:AD180)</f>
        <v>284</v>
      </c>
      <c r="AF180" s="78"/>
      <c r="AG180" s="78">
        <f>SUM(AE180:AF180)</f>
        <v>284</v>
      </c>
      <c r="AH180" s="78"/>
      <c r="AI180" s="78">
        <f>SUM(AG180:AH180)</f>
        <v>284</v>
      </c>
      <c r="AJ180" s="78"/>
      <c r="AK180" s="78">
        <f>SUM(AI180:AJ180)</f>
        <v>284</v>
      </c>
      <c r="AL180" s="78"/>
      <c r="AM180" s="78">
        <f>SUM(AK180:AL180)</f>
        <v>284</v>
      </c>
    </row>
    <row r="181" spans="1:39" s="122" customFormat="1" ht="24">
      <c r="A181" s="64"/>
      <c r="B181" s="84"/>
      <c r="C181" s="83">
        <v>4740</v>
      </c>
      <c r="D181" s="37" t="s">
        <v>249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>
        <v>0</v>
      </c>
      <c r="AD181" s="78">
        <v>182</v>
      </c>
      <c r="AE181" s="78">
        <f>SUM(AC181:AD181)</f>
        <v>182</v>
      </c>
      <c r="AF181" s="78"/>
      <c r="AG181" s="78">
        <f>SUM(AE181:AF181)</f>
        <v>182</v>
      </c>
      <c r="AH181" s="78"/>
      <c r="AI181" s="78">
        <f>SUM(AG181:AH181)</f>
        <v>182</v>
      </c>
      <c r="AJ181" s="78"/>
      <c r="AK181" s="78">
        <f>SUM(AI181:AJ181)</f>
        <v>182</v>
      </c>
      <c r="AL181" s="78"/>
      <c r="AM181" s="78">
        <f>SUM(AK181:AL181)</f>
        <v>182</v>
      </c>
    </row>
    <row r="182" spans="1:39" s="122" customFormat="1" ht="24">
      <c r="A182" s="64"/>
      <c r="B182" s="84"/>
      <c r="C182" s="83">
        <v>4750</v>
      </c>
      <c r="D182" s="37" t="s">
        <v>222</v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>
        <v>0</v>
      </c>
      <c r="AD182" s="78">
        <v>534</v>
      </c>
      <c r="AE182" s="78">
        <f>SUM(AC182:AD182)</f>
        <v>534</v>
      </c>
      <c r="AF182" s="78"/>
      <c r="AG182" s="78">
        <f>SUM(AE182:AF182)</f>
        <v>534</v>
      </c>
      <c r="AH182" s="78"/>
      <c r="AI182" s="78">
        <f>SUM(AG182:AH182)</f>
        <v>534</v>
      </c>
      <c r="AJ182" s="78"/>
      <c r="AK182" s="78">
        <f>SUM(AI182:AJ182)</f>
        <v>534</v>
      </c>
      <c r="AL182" s="78"/>
      <c r="AM182" s="78">
        <f>SUM(AK182:AL182)</f>
        <v>534</v>
      </c>
    </row>
    <row r="183" spans="1:39" s="122" customFormat="1" ht="24.75" customHeight="1">
      <c r="A183" s="64"/>
      <c r="B183" s="84"/>
      <c r="C183" s="83">
        <v>6060</v>
      </c>
      <c r="D183" s="37" t="s">
        <v>95</v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>
        <v>0</v>
      </c>
      <c r="Z183" s="78">
        <v>8000</v>
      </c>
      <c r="AA183" s="78">
        <f>SUM(Y183:Z183)</f>
        <v>8000</v>
      </c>
      <c r="AB183" s="78"/>
      <c r="AC183" s="78">
        <f>SUM(AA183:AB183)</f>
        <v>8000</v>
      </c>
      <c r="AD183" s="78"/>
      <c r="AE183" s="78">
        <f>SUM(AC183:AD183)</f>
        <v>8000</v>
      </c>
      <c r="AF183" s="78"/>
      <c r="AG183" s="78">
        <f>SUM(AE183:AF183)</f>
        <v>8000</v>
      </c>
      <c r="AH183" s="78"/>
      <c r="AI183" s="78">
        <f>SUM(AG183:AH183)</f>
        <v>8000</v>
      </c>
      <c r="AJ183" s="78">
        <v>-2400</v>
      </c>
      <c r="AK183" s="78">
        <f>SUM(AI183:AJ183)</f>
        <v>5600</v>
      </c>
      <c r="AL183" s="78"/>
      <c r="AM183" s="78">
        <f>SUM(AK183:AL183)</f>
        <v>5600</v>
      </c>
    </row>
    <row r="184" spans="1:39" s="23" customFormat="1" ht="21.75" customHeight="1">
      <c r="A184" s="83"/>
      <c r="B184" s="79" t="s">
        <v>98</v>
      </c>
      <c r="C184" s="83"/>
      <c r="D184" s="37" t="s">
        <v>99</v>
      </c>
      <c r="E184" s="78">
        <f aca="true" t="shared" si="195" ref="E184:W184">SUM(E186:E199)</f>
        <v>197515</v>
      </c>
      <c r="F184" s="78">
        <f t="shared" si="195"/>
        <v>220000</v>
      </c>
      <c r="G184" s="78">
        <f t="shared" si="195"/>
        <v>417515</v>
      </c>
      <c r="H184" s="78">
        <f t="shared" si="195"/>
        <v>0</v>
      </c>
      <c r="I184" s="78">
        <f t="shared" si="195"/>
        <v>417515</v>
      </c>
      <c r="J184" s="78">
        <f t="shared" si="195"/>
        <v>0</v>
      </c>
      <c r="K184" s="78">
        <f t="shared" si="195"/>
        <v>417515</v>
      </c>
      <c r="L184" s="78">
        <f t="shared" si="195"/>
        <v>0</v>
      </c>
      <c r="M184" s="78">
        <f t="shared" si="195"/>
        <v>417515</v>
      </c>
      <c r="N184" s="78">
        <f t="shared" si="195"/>
        <v>0</v>
      </c>
      <c r="O184" s="78">
        <f t="shared" si="195"/>
        <v>417515</v>
      </c>
      <c r="P184" s="78">
        <f t="shared" si="195"/>
        <v>0</v>
      </c>
      <c r="Q184" s="78">
        <f t="shared" si="195"/>
        <v>417515</v>
      </c>
      <c r="R184" s="78">
        <f t="shared" si="195"/>
        <v>0</v>
      </c>
      <c r="S184" s="78">
        <f t="shared" si="195"/>
        <v>417515</v>
      </c>
      <c r="T184" s="78">
        <f t="shared" si="195"/>
        <v>0</v>
      </c>
      <c r="U184" s="78">
        <f t="shared" si="195"/>
        <v>417515</v>
      </c>
      <c r="V184" s="78">
        <f t="shared" si="195"/>
        <v>0</v>
      </c>
      <c r="W184" s="78">
        <f t="shared" si="195"/>
        <v>417515</v>
      </c>
      <c r="X184" s="78">
        <f aca="true" t="shared" si="196" ref="X184:AC184">SUM(X186:X199)</f>
        <v>0</v>
      </c>
      <c r="Y184" s="78">
        <f t="shared" si="196"/>
        <v>417515</v>
      </c>
      <c r="Z184" s="78">
        <f t="shared" si="196"/>
        <v>0</v>
      </c>
      <c r="AA184" s="78">
        <f t="shared" si="196"/>
        <v>417515</v>
      </c>
      <c r="AB184" s="78">
        <f t="shared" si="196"/>
        <v>0</v>
      </c>
      <c r="AC184" s="78">
        <f t="shared" si="196"/>
        <v>417515</v>
      </c>
      <c r="AD184" s="78">
        <f>SUM(AD186:AD199)</f>
        <v>0</v>
      </c>
      <c r="AE184" s="78">
        <f>SUM(AE186:AE199)</f>
        <v>417515</v>
      </c>
      <c r="AF184" s="78">
        <f>SUM(AF186:AF199)</f>
        <v>0</v>
      </c>
      <c r="AG184" s="78">
        <f>SUM(AG186:AG199)</f>
        <v>417515</v>
      </c>
      <c r="AH184" s="78">
        <f>SUM(AH186:AH199)</f>
        <v>0</v>
      </c>
      <c r="AI184" s="78">
        <f>SUM(AI185:AI199)</f>
        <v>417515</v>
      </c>
      <c r="AJ184" s="78">
        <f>SUM(AJ185:AJ199)</f>
        <v>19700</v>
      </c>
      <c r="AK184" s="78">
        <f>SUM(AK185:AK199)</f>
        <v>437215</v>
      </c>
      <c r="AL184" s="78">
        <f>SUM(AL185:AL199)</f>
        <v>0</v>
      </c>
      <c r="AM184" s="78">
        <f>SUM(AM185:AM199)</f>
        <v>437215</v>
      </c>
    </row>
    <row r="185" spans="1:39" s="23" customFormat="1" ht="36">
      <c r="A185" s="83"/>
      <c r="B185" s="79"/>
      <c r="C185" s="83">
        <v>2820</v>
      </c>
      <c r="D185" s="37" t="s">
        <v>354</v>
      </c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>
        <v>0</v>
      </c>
      <c r="AJ185" s="78">
        <v>17479</v>
      </c>
      <c r="AK185" s="78">
        <f>SUM(AI185:AJ185)</f>
        <v>17479</v>
      </c>
      <c r="AL185" s="78"/>
      <c r="AM185" s="78">
        <f>SUM(AK185:AL185)</f>
        <v>17479</v>
      </c>
    </row>
    <row r="186" spans="1:39" s="23" customFormat="1" ht="21" customHeight="1">
      <c r="A186" s="83"/>
      <c r="B186" s="79"/>
      <c r="C186" s="83">
        <v>3020</v>
      </c>
      <c r="D186" s="37" t="s">
        <v>187</v>
      </c>
      <c r="E186" s="78">
        <f>1200+1000+13600</f>
        <v>15800</v>
      </c>
      <c r="F186" s="78"/>
      <c r="G186" s="78">
        <f>SUM(E186:F186)</f>
        <v>15800</v>
      </c>
      <c r="H186" s="78"/>
      <c r="I186" s="78">
        <f>SUM(G186:H186)</f>
        <v>15800</v>
      </c>
      <c r="J186" s="78"/>
      <c r="K186" s="78">
        <f>SUM(I186:J186)</f>
        <v>15800</v>
      </c>
      <c r="L186" s="78"/>
      <c r="M186" s="78">
        <f>SUM(K186:L186)</f>
        <v>15800</v>
      </c>
      <c r="N186" s="78"/>
      <c r="O186" s="78">
        <f>SUM(M186:N186)</f>
        <v>15800</v>
      </c>
      <c r="P186" s="78"/>
      <c r="Q186" s="78">
        <f>SUM(O186:P186)</f>
        <v>15800</v>
      </c>
      <c r="R186" s="78"/>
      <c r="S186" s="78">
        <f>SUM(Q186:R186)</f>
        <v>15800</v>
      </c>
      <c r="T186" s="78"/>
      <c r="U186" s="78">
        <f>SUM(S186:T186)</f>
        <v>15800</v>
      </c>
      <c r="V186" s="78"/>
      <c r="W186" s="78">
        <f>SUM(U186:V186)</f>
        <v>15800</v>
      </c>
      <c r="X186" s="78">
        <v>-5000</v>
      </c>
      <c r="Y186" s="78">
        <f>SUM(W186:X186)</f>
        <v>10800</v>
      </c>
      <c r="Z186" s="78"/>
      <c r="AA186" s="78">
        <f>SUM(Y186:Z186)</f>
        <v>10800</v>
      </c>
      <c r="AB186" s="78"/>
      <c r="AC186" s="78">
        <f>SUM(AA186:AB186)</f>
        <v>10800</v>
      </c>
      <c r="AD186" s="78">
        <v>-4000</v>
      </c>
      <c r="AE186" s="78">
        <f>SUM(AC186:AD186)</f>
        <v>6800</v>
      </c>
      <c r="AF186" s="78"/>
      <c r="AG186" s="78">
        <f>SUM(AE186:AF186)</f>
        <v>6800</v>
      </c>
      <c r="AH186" s="78">
        <v>-3000</v>
      </c>
      <c r="AI186" s="78">
        <f>SUM(AG186:AH186)</f>
        <v>3800</v>
      </c>
      <c r="AJ186" s="78"/>
      <c r="AK186" s="78">
        <f>SUM(AI186:AJ186)</f>
        <v>3800</v>
      </c>
      <c r="AL186" s="78">
        <v>-1000</v>
      </c>
      <c r="AM186" s="78">
        <f>SUM(AK186:AL186)</f>
        <v>2800</v>
      </c>
    </row>
    <row r="187" spans="1:39" s="23" customFormat="1" ht="21" customHeight="1">
      <c r="A187" s="83"/>
      <c r="B187" s="79"/>
      <c r="C187" s="83">
        <v>3030</v>
      </c>
      <c r="D187" s="37" t="s">
        <v>88</v>
      </c>
      <c r="E187" s="78">
        <v>14180</v>
      </c>
      <c r="F187" s="78"/>
      <c r="G187" s="78">
        <f aca="true" t="shared" si="197" ref="G187:G199">SUM(E187:F187)</f>
        <v>14180</v>
      </c>
      <c r="H187" s="78"/>
      <c r="I187" s="78">
        <f aca="true" t="shared" si="198" ref="I187:I199">SUM(G187:H187)</f>
        <v>14180</v>
      </c>
      <c r="J187" s="78"/>
      <c r="K187" s="78">
        <f aca="true" t="shared" si="199" ref="K187:K199">SUM(I187:J187)</f>
        <v>14180</v>
      </c>
      <c r="L187" s="78"/>
      <c r="M187" s="78">
        <f aca="true" t="shared" si="200" ref="M187:M199">SUM(K187:L187)</f>
        <v>14180</v>
      </c>
      <c r="N187" s="78"/>
      <c r="O187" s="78">
        <f aca="true" t="shared" si="201" ref="O187:O199">SUM(M187:N187)</f>
        <v>14180</v>
      </c>
      <c r="P187" s="78"/>
      <c r="Q187" s="78">
        <f aca="true" t="shared" si="202" ref="Q187:Q199">SUM(O187:P187)</f>
        <v>14180</v>
      </c>
      <c r="R187" s="78"/>
      <c r="S187" s="78">
        <f aca="true" t="shared" si="203" ref="S187:S199">SUM(Q187:R187)</f>
        <v>14180</v>
      </c>
      <c r="T187" s="78"/>
      <c r="U187" s="78">
        <f aca="true" t="shared" si="204" ref="U187:U199">SUM(S187:T187)</f>
        <v>14180</v>
      </c>
      <c r="V187" s="78"/>
      <c r="W187" s="78">
        <f aca="true" t="shared" si="205" ref="W187:W199">SUM(U187:V187)</f>
        <v>14180</v>
      </c>
      <c r="X187" s="78">
        <v>5000</v>
      </c>
      <c r="Y187" s="78">
        <f aca="true" t="shared" si="206" ref="Y187:Y199">SUM(W187:X187)</f>
        <v>19180</v>
      </c>
      <c r="Z187" s="78"/>
      <c r="AA187" s="78">
        <f aca="true" t="shared" si="207" ref="AA187:AA199">SUM(Y187:Z187)</f>
        <v>19180</v>
      </c>
      <c r="AB187" s="78"/>
      <c r="AC187" s="78">
        <f aca="true" t="shared" si="208" ref="AC187:AC199">SUM(AA187:AB187)</f>
        <v>19180</v>
      </c>
      <c r="AD187" s="78">
        <v>8000</v>
      </c>
      <c r="AE187" s="78">
        <f aca="true" t="shared" si="209" ref="AE187:AE199">SUM(AC187:AD187)</f>
        <v>27180</v>
      </c>
      <c r="AF187" s="78"/>
      <c r="AG187" s="78">
        <f aca="true" t="shared" si="210" ref="AG187:AG199">SUM(AE187:AF187)</f>
        <v>27180</v>
      </c>
      <c r="AH187" s="78">
        <v>6050</v>
      </c>
      <c r="AI187" s="78">
        <f aca="true" t="shared" si="211" ref="AI187:AI199">SUM(AG187:AH187)</f>
        <v>33230</v>
      </c>
      <c r="AJ187" s="78">
        <v>3000</v>
      </c>
      <c r="AK187" s="78">
        <f aca="true" t="shared" si="212" ref="AK187:AK199">SUM(AI187:AJ187)</f>
        <v>36230</v>
      </c>
      <c r="AL187" s="78">
        <v>1000</v>
      </c>
      <c r="AM187" s="78">
        <f aca="true" t="shared" si="213" ref="AM187:AM199">SUM(AK187:AL187)</f>
        <v>37230</v>
      </c>
    </row>
    <row r="188" spans="1:42" s="23" customFormat="1" ht="21" customHeight="1">
      <c r="A188" s="83"/>
      <c r="B188" s="79"/>
      <c r="C188" s="83">
        <v>4110</v>
      </c>
      <c r="D188" s="37" t="s">
        <v>85</v>
      </c>
      <c r="E188" s="78">
        <v>5500</v>
      </c>
      <c r="F188" s="78"/>
      <c r="G188" s="78">
        <f t="shared" si="197"/>
        <v>5500</v>
      </c>
      <c r="H188" s="78"/>
      <c r="I188" s="78">
        <f t="shared" si="198"/>
        <v>5500</v>
      </c>
      <c r="J188" s="78"/>
      <c r="K188" s="78">
        <f t="shared" si="199"/>
        <v>5500</v>
      </c>
      <c r="L188" s="78">
        <v>-3000</v>
      </c>
      <c r="M188" s="78">
        <f t="shared" si="200"/>
        <v>2500</v>
      </c>
      <c r="N188" s="78"/>
      <c r="O188" s="78">
        <f t="shared" si="201"/>
        <v>2500</v>
      </c>
      <c r="P188" s="78"/>
      <c r="Q188" s="78">
        <f t="shared" si="202"/>
        <v>2500</v>
      </c>
      <c r="R188" s="78">
        <v>-600</v>
      </c>
      <c r="S188" s="78">
        <f t="shared" si="203"/>
        <v>1900</v>
      </c>
      <c r="T188" s="78"/>
      <c r="U188" s="78">
        <f t="shared" si="204"/>
        <v>1900</v>
      </c>
      <c r="V188" s="78"/>
      <c r="W188" s="78">
        <f t="shared" si="205"/>
        <v>1900</v>
      </c>
      <c r="X188" s="78"/>
      <c r="Y188" s="78">
        <f t="shared" si="206"/>
        <v>1900</v>
      </c>
      <c r="Z188" s="78"/>
      <c r="AA188" s="78">
        <f t="shared" si="207"/>
        <v>1900</v>
      </c>
      <c r="AB188" s="78"/>
      <c r="AC188" s="78">
        <f t="shared" si="208"/>
        <v>1900</v>
      </c>
      <c r="AD188" s="78"/>
      <c r="AE188" s="78">
        <f t="shared" si="209"/>
        <v>1900</v>
      </c>
      <c r="AF188" s="78"/>
      <c r="AG188" s="78">
        <f t="shared" si="210"/>
        <v>1900</v>
      </c>
      <c r="AH188" s="78"/>
      <c r="AI188" s="78">
        <f t="shared" si="211"/>
        <v>1900</v>
      </c>
      <c r="AJ188" s="78">
        <v>-470</v>
      </c>
      <c r="AK188" s="78">
        <f t="shared" si="212"/>
        <v>1430</v>
      </c>
      <c r="AL188" s="78"/>
      <c r="AM188" s="78">
        <f t="shared" si="213"/>
        <v>1430</v>
      </c>
      <c r="AN188" s="113"/>
      <c r="AO188" s="113"/>
      <c r="AP188" s="113"/>
    </row>
    <row r="189" spans="1:42" s="23" customFormat="1" ht="21" customHeight="1">
      <c r="A189" s="83"/>
      <c r="B189" s="79"/>
      <c r="C189" s="83">
        <v>4120</v>
      </c>
      <c r="D189" s="37" t="s">
        <v>217</v>
      </c>
      <c r="E189" s="78">
        <v>880</v>
      </c>
      <c r="F189" s="78"/>
      <c r="G189" s="78">
        <f t="shared" si="197"/>
        <v>880</v>
      </c>
      <c r="H189" s="78"/>
      <c r="I189" s="78">
        <f t="shared" si="198"/>
        <v>880</v>
      </c>
      <c r="J189" s="78"/>
      <c r="K189" s="78">
        <f t="shared" si="199"/>
        <v>880</v>
      </c>
      <c r="L189" s="78">
        <v>-200</v>
      </c>
      <c r="M189" s="78">
        <f t="shared" si="200"/>
        <v>680</v>
      </c>
      <c r="N189" s="78"/>
      <c r="O189" s="78">
        <f t="shared" si="201"/>
        <v>680</v>
      </c>
      <c r="P189" s="78"/>
      <c r="Q189" s="78">
        <f t="shared" si="202"/>
        <v>680</v>
      </c>
      <c r="R189" s="78">
        <v>-200</v>
      </c>
      <c r="S189" s="78">
        <f t="shared" si="203"/>
        <v>480</v>
      </c>
      <c r="T189" s="78"/>
      <c r="U189" s="78">
        <f t="shared" si="204"/>
        <v>480</v>
      </c>
      <c r="V189" s="78"/>
      <c r="W189" s="78">
        <f t="shared" si="205"/>
        <v>480</v>
      </c>
      <c r="X189" s="78"/>
      <c r="Y189" s="78">
        <f t="shared" si="206"/>
        <v>480</v>
      </c>
      <c r="Z189" s="78"/>
      <c r="AA189" s="78">
        <f t="shared" si="207"/>
        <v>480</v>
      </c>
      <c r="AB189" s="78"/>
      <c r="AC189" s="78">
        <f t="shared" si="208"/>
        <v>480</v>
      </c>
      <c r="AD189" s="78"/>
      <c r="AE189" s="78">
        <f t="shared" si="209"/>
        <v>480</v>
      </c>
      <c r="AF189" s="78"/>
      <c r="AG189" s="78">
        <f t="shared" si="210"/>
        <v>480</v>
      </c>
      <c r="AH189" s="78"/>
      <c r="AI189" s="78">
        <f t="shared" si="211"/>
        <v>480</v>
      </c>
      <c r="AJ189" s="78">
        <v>-480</v>
      </c>
      <c r="AK189" s="78">
        <f t="shared" si="212"/>
        <v>0</v>
      </c>
      <c r="AL189" s="78"/>
      <c r="AM189" s="78">
        <f t="shared" si="213"/>
        <v>0</v>
      </c>
      <c r="AN189" s="113"/>
      <c r="AO189" s="113"/>
      <c r="AP189" s="113"/>
    </row>
    <row r="190" spans="1:42" s="23" customFormat="1" ht="21" customHeight="1">
      <c r="A190" s="83"/>
      <c r="B190" s="79"/>
      <c r="C190" s="64">
        <v>4170</v>
      </c>
      <c r="D190" s="37" t="s">
        <v>189</v>
      </c>
      <c r="E190" s="78">
        <v>35640</v>
      </c>
      <c r="F190" s="78"/>
      <c r="G190" s="78">
        <f t="shared" si="197"/>
        <v>35640</v>
      </c>
      <c r="H190" s="78"/>
      <c r="I190" s="78">
        <f t="shared" si="198"/>
        <v>35640</v>
      </c>
      <c r="J190" s="78"/>
      <c r="K190" s="78">
        <f t="shared" si="199"/>
        <v>35640</v>
      </c>
      <c r="L190" s="78">
        <v>-4000</v>
      </c>
      <c r="M190" s="78">
        <f t="shared" si="200"/>
        <v>31640</v>
      </c>
      <c r="N190" s="78"/>
      <c r="O190" s="78">
        <f t="shared" si="201"/>
        <v>31640</v>
      </c>
      <c r="P190" s="78"/>
      <c r="Q190" s="78">
        <f t="shared" si="202"/>
        <v>31640</v>
      </c>
      <c r="R190" s="78">
        <v>-1320</v>
      </c>
      <c r="S190" s="78">
        <f t="shared" si="203"/>
        <v>30320</v>
      </c>
      <c r="T190" s="78"/>
      <c r="U190" s="78">
        <f t="shared" si="204"/>
        <v>30320</v>
      </c>
      <c r="V190" s="78"/>
      <c r="W190" s="78">
        <f t="shared" si="205"/>
        <v>30320</v>
      </c>
      <c r="X190" s="78"/>
      <c r="Y190" s="78">
        <f t="shared" si="206"/>
        <v>30320</v>
      </c>
      <c r="Z190" s="78"/>
      <c r="AA190" s="78">
        <f t="shared" si="207"/>
        <v>30320</v>
      </c>
      <c r="AB190" s="78"/>
      <c r="AC190" s="78">
        <f t="shared" si="208"/>
        <v>30320</v>
      </c>
      <c r="AD190" s="78"/>
      <c r="AE190" s="78">
        <f t="shared" si="209"/>
        <v>30320</v>
      </c>
      <c r="AF190" s="78"/>
      <c r="AG190" s="78">
        <f t="shared" si="210"/>
        <v>30320</v>
      </c>
      <c r="AH190" s="78"/>
      <c r="AI190" s="78">
        <f t="shared" si="211"/>
        <v>30320</v>
      </c>
      <c r="AJ190" s="78">
        <v>-914</v>
      </c>
      <c r="AK190" s="78">
        <f t="shared" si="212"/>
        <v>29406</v>
      </c>
      <c r="AL190" s="78"/>
      <c r="AM190" s="78">
        <f t="shared" si="213"/>
        <v>29406</v>
      </c>
      <c r="AN190" s="113"/>
      <c r="AO190" s="113"/>
      <c r="AP190" s="113"/>
    </row>
    <row r="191" spans="1:39" s="23" customFormat="1" ht="21" customHeight="1">
      <c r="A191" s="83"/>
      <c r="B191" s="79"/>
      <c r="C191" s="64">
        <v>4210</v>
      </c>
      <c r="D191" s="37" t="s">
        <v>91</v>
      </c>
      <c r="E191" s="78">
        <f>32800+3400+1915</f>
        <v>38115</v>
      </c>
      <c r="F191" s="78"/>
      <c r="G191" s="78">
        <f t="shared" si="197"/>
        <v>38115</v>
      </c>
      <c r="H191" s="78"/>
      <c r="I191" s="78">
        <f t="shared" si="198"/>
        <v>38115</v>
      </c>
      <c r="J191" s="78"/>
      <c r="K191" s="78">
        <f t="shared" si="199"/>
        <v>38115</v>
      </c>
      <c r="L191" s="78">
        <v>3000</v>
      </c>
      <c r="M191" s="78">
        <f t="shared" si="200"/>
        <v>41115</v>
      </c>
      <c r="N191" s="78"/>
      <c r="O191" s="78">
        <f t="shared" si="201"/>
        <v>41115</v>
      </c>
      <c r="P191" s="78"/>
      <c r="Q191" s="78">
        <f t="shared" si="202"/>
        <v>41115</v>
      </c>
      <c r="R191" s="78">
        <v>2755</v>
      </c>
      <c r="S191" s="78">
        <f t="shared" si="203"/>
        <v>43870</v>
      </c>
      <c r="T191" s="78"/>
      <c r="U191" s="78">
        <f t="shared" si="204"/>
        <v>43870</v>
      </c>
      <c r="V191" s="78"/>
      <c r="W191" s="78">
        <f t="shared" si="205"/>
        <v>43870</v>
      </c>
      <c r="X191" s="78"/>
      <c r="Y191" s="78">
        <f t="shared" si="206"/>
        <v>43870</v>
      </c>
      <c r="Z191" s="78"/>
      <c r="AA191" s="78">
        <f t="shared" si="207"/>
        <v>43870</v>
      </c>
      <c r="AB191" s="78"/>
      <c r="AC191" s="78">
        <f t="shared" si="208"/>
        <v>43870</v>
      </c>
      <c r="AD191" s="78">
        <v>-5000</v>
      </c>
      <c r="AE191" s="78">
        <f t="shared" si="209"/>
        <v>38870</v>
      </c>
      <c r="AF191" s="78"/>
      <c r="AG191" s="78">
        <f t="shared" si="210"/>
        <v>38870</v>
      </c>
      <c r="AH191" s="78">
        <v>-2000</v>
      </c>
      <c r="AI191" s="78">
        <f t="shared" si="211"/>
        <v>36870</v>
      </c>
      <c r="AJ191" s="78">
        <f>3000-1915</f>
        <v>1085</v>
      </c>
      <c r="AK191" s="78">
        <f t="shared" si="212"/>
        <v>37955</v>
      </c>
      <c r="AL191" s="78"/>
      <c r="AM191" s="78">
        <f t="shared" si="213"/>
        <v>37955</v>
      </c>
    </row>
    <row r="192" spans="1:39" s="23" customFormat="1" ht="21" customHeight="1">
      <c r="A192" s="83"/>
      <c r="B192" s="79"/>
      <c r="C192" s="64">
        <v>4260</v>
      </c>
      <c r="D192" s="37" t="s">
        <v>94</v>
      </c>
      <c r="E192" s="78">
        <v>15300</v>
      </c>
      <c r="F192" s="78"/>
      <c r="G192" s="78">
        <f t="shared" si="197"/>
        <v>15300</v>
      </c>
      <c r="H192" s="78"/>
      <c r="I192" s="78">
        <f t="shared" si="198"/>
        <v>15300</v>
      </c>
      <c r="J192" s="78"/>
      <c r="K192" s="78">
        <f t="shared" si="199"/>
        <v>15300</v>
      </c>
      <c r="L192" s="78"/>
      <c r="M192" s="78">
        <f t="shared" si="200"/>
        <v>15300</v>
      </c>
      <c r="N192" s="78"/>
      <c r="O192" s="78">
        <f t="shared" si="201"/>
        <v>15300</v>
      </c>
      <c r="P192" s="78"/>
      <c r="Q192" s="78">
        <f t="shared" si="202"/>
        <v>15300</v>
      </c>
      <c r="R192" s="78"/>
      <c r="S192" s="78">
        <f t="shared" si="203"/>
        <v>15300</v>
      </c>
      <c r="T192" s="78"/>
      <c r="U192" s="78">
        <f t="shared" si="204"/>
        <v>15300</v>
      </c>
      <c r="V192" s="78"/>
      <c r="W192" s="78">
        <f t="shared" si="205"/>
        <v>15300</v>
      </c>
      <c r="X192" s="78"/>
      <c r="Y192" s="78">
        <f t="shared" si="206"/>
        <v>15300</v>
      </c>
      <c r="Z192" s="78"/>
      <c r="AA192" s="78">
        <f t="shared" si="207"/>
        <v>15300</v>
      </c>
      <c r="AB192" s="78"/>
      <c r="AC192" s="78">
        <f t="shared" si="208"/>
        <v>15300</v>
      </c>
      <c r="AD192" s="78"/>
      <c r="AE192" s="78">
        <f t="shared" si="209"/>
        <v>15300</v>
      </c>
      <c r="AF192" s="78"/>
      <c r="AG192" s="78">
        <f t="shared" si="210"/>
        <v>15300</v>
      </c>
      <c r="AH192" s="78">
        <v>3000</v>
      </c>
      <c r="AI192" s="78">
        <f t="shared" si="211"/>
        <v>18300</v>
      </c>
      <c r="AJ192" s="78"/>
      <c r="AK192" s="78">
        <f t="shared" si="212"/>
        <v>18300</v>
      </c>
      <c r="AL192" s="78"/>
      <c r="AM192" s="78">
        <f t="shared" si="213"/>
        <v>18300</v>
      </c>
    </row>
    <row r="193" spans="1:39" s="23" customFormat="1" ht="21" customHeight="1">
      <c r="A193" s="83"/>
      <c r="B193" s="79"/>
      <c r="C193" s="64">
        <v>4270</v>
      </c>
      <c r="D193" s="37" t="s">
        <v>77</v>
      </c>
      <c r="E193" s="78">
        <v>13500</v>
      </c>
      <c r="F193" s="78"/>
      <c r="G193" s="78">
        <f t="shared" si="197"/>
        <v>13500</v>
      </c>
      <c r="H193" s="78"/>
      <c r="I193" s="78">
        <f t="shared" si="198"/>
        <v>13500</v>
      </c>
      <c r="J193" s="78"/>
      <c r="K193" s="78">
        <f t="shared" si="199"/>
        <v>13500</v>
      </c>
      <c r="L193" s="78"/>
      <c r="M193" s="78">
        <f t="shared" si="200"/>
        <v>13500</v>
      </c>
      <c r="N193" s="78"/>
      <c r="O193" s="78">
        <f t="shared" si="201"/>
        <v>13500</v>
      </c>
      <c r="P193" s="78"/>
      <c r="Q193" s="78">
        <f t="shared" si="202"/>
        <v>13500</v>
      </c>
      <c r="R193" s="78"/>
      <c r="S193" s="78">
        <f t="shared" si="203"/>
        <v>13500</v>
      </c>
      <c r="T193" s="78"/>
      <c r="U193" s="78">
        <f t="shared" si="204"/>
        <v>13500</v>
      </c>
      <c r="V193" s="78"/>
      <c r="W193" s="78">
        <f t="shared" si="205"/>
        <v>13500</v>
      </c>
      <c r="X193" s="78"/>
      <c r="Y193" s="78">
        <f t="shared" si="206"/>
        <v>13500</v>
      </c>
      <c r="Z193" s="78"/>
      <c r="AA193" s="78">
        <f t="shared" si="207"/>
        <v>13500</v>
      </c>
      <c r="AB193" s="78"/>
      <c r="AC193" s="78">
        <f t="shared" si="208"/>
        <v>13500</v>
      </c>
      <c r="AD193" s="78">
        <v>4000</v>
      </c>
      <c r="AE193" s="78">
        <f t="shared" si="209"/>
        <v>17500</v>
      </c>
      <c r="AF193" s="78"/>
      <c r="AG193" s="78">
        <f t="shared" si="210"/>
        <v>17500</v>
      </c>
      <c r="AH193" s="78"/>
      <c r="AI193" s="78">
        <f t="shared" si="211"/>
        <v>17500</v>
      </c>
      <c r="AJ193" s="78"/>
      <c r="AK193" s="78">
        <f t="shared" si="212"/>
        <v>17500</v>
      </c>
      <c r="AL193" s="78"/>
      <c r="AM193" s="78">
        <f t="shared" si="213"/>
        <v>17500</v>
      </c>
    </row>
    <row r="194" spans="1:39" s="23" customFormat="1" ht="21" customHeight="1">
      <c r="A194" s="83"/>
      <c r="B194" s="79"/>
      <c r="C194" s="64">
        <v>4280</v>
      </c>
      <c r="D194" s="37" t="s">
        <v>216</v>
      </c>
      <c r="E194" s="78">
        <v>6000</v>
      </c>
      <c r="F194" s="78"/>
      <c r="G194" s="78">
        <f t="shared" si="197"/>
        <v>6000</v>
      </c>
      <c r="H194" s="78"/>
      <c r="I194" s="78">
        <f t="shared" si="198"/>
        <v>6000</v>
      </c>
      <c r="J194" s="78"/>
      <c r="K194" s="78">
        <f t="shared" si="199"/>
        <v>6000</v>
      </c>
      <c r="L194" s="78"/>
      <c r="M194" s="78">
        <f t="shared" si="200"/>
        <v>6000</v>
      </c>
      <c r="N194" s="78"/>
      <c r="O194" s="78">
        <f t="shared" si="201"/>
        <v>6000</v>
      </c>
      <c r="P194" s="78"/>
      <c r="Q194" s="78">
        <f t="shared" si="202"/>
        <v>6000</v>
      </c>
      <c r="R194" s="78">
        <v>2120</v>
      </c>
      <c r="S194" s="78">
        <f t="shared" si="203"/>
        <v>8120</v>
      </c>
      <c r="T194" s="78"/>
      <c r="U194" s="78">
        <f t="shared" si="204"/>
        <v>8120</v>
      </c>
      <c r="V194" s="78"/>
      <c r="W194" s="78">
        <f t="shared" si="205"/>
        <v>8120</v>
      </c>
      <c r="X194" s="78"/>
      <c r="Y194" s="78">
        <f t="shared" si="206"/>
        <v>8120</v>
      </c>
      <c r="Z194" s="78"/>
      <c r="AA194" s="78">
        <f t="shared" si="207"/>
        <v>8120</v>
      </c>
      <c r="AB194" s="78"/>
      <c r="AC194" s="78">
        <f t="shared" si="208"/>
        <v>8120</v>
      </c>
      <c r="AD194" s="78"/>
      <c r="AE194" s="78">
        <f t="shared" si="209"/>
        <v>8120</v>
      </c>
      <c r="AF194" s="78"/>
      <c r="AG194" s="78">
        <f t="shared" si="210"/>
        <v>8120</v>
      </c>
      <c r="AH194" s="78">
        <v>-1000</v>
      </c>
      <c r="AI194" s="78">
        <f t="shared" si="211"/>
        <v>7120</v>
      </c>
      <c r="AJ194" s="78"/>
      <c r="AK194" s="78">
        <f t="shared" si="212"/>
        <v>7120</v>
      </c>
      <c r="AL194" s="78"/>
      <c r="AM194" s="78">
        <f t="shared" si="213"/>
        <v>7120</v>
      </c>
    </row>
    <row r="195" spans="1:39" s="23" customFormat="1" ht="21" customHeight="1">
      <c r="A195" s="83"/>
      <c r="B195" s="79"/>
      <c r="C195" s="64">
        <v>4300</v>
      </c>
      <c r="D195" s="37" t="s">
        <v>78</v>
      </c>
      <c r="E195" s="78">
        <v>10594</v>
      </c>
      <c r="F195" s="78"/>
      <c r="G195" s="78">
        <f t="shared" si="197"/>
        <v>10594</v>
      </c>
      <c r="H195" s="78"/>
      <c r="I195" s="78">
        <f t="shared" si="198"/>
        <v>10594</v>
      </c>
      <c r="J195" s="78"/>
      <c r="K195" s="78">
        <f t="shared" si="199"/>
        <v>10594</v>
      </c>
      <c r="L195" s="78">
        <v>4200</v>
      </c>
      <c r="M195" s="78">
        <f t="shared" si="200"/>
        <v>14794</v>
      </c>
      <c r="N195" s="78"/>
      <c r="O195" s="78">
        <f t="shared" si="201"/>
        <v>14794</v>
      </c>
      <c r="P195" s="78"/>
      <c r="Q195" s="78">
        <f t="shared" si="202"/>
        <v>14794</v>
      </c>
      <c r="R195" s="78">
        <v>-144</v>
      </c>
      <c r="S195" s="78">
        <f t="shared" si="203"/>
        <v>14650</v>
      </c>
      <c r="T195" s="78"/>
      <c r="U195" s="78">
        <f t="shared" si="204"/>
        <v>14650</v>
      </c>
      <c r="V195" s="78"/>
      <c r="W195" s="78">
        <f t="shared" si="205"/>
        <v>14650</v>
      </c>
      <c r="X195" s="78"/>
      <c r="Y195" s="78">
        <f t="shared" si="206"/>
        <v>14650</v>
      </c>
      <c r="Z195" s="78"/>
      <c r="AA195" s="78">
        <f t="shared" si="207"/>
        <v>14650</v>
      </c>
      <c r="AB195" s="78"/>
      <c r="AC195" s="78">
        <f t="shared" si="208"/>
        <v>14650</v>
      </c>
      <c r="AD195" s="78">
        <v>-2000</v>
      </c>
      <c r="AE195" s="78">
        <f t="shared" si="209"/>
        <v>12650</v>
      </c>
      <c r="AF195" s="78"/>
      <c r="AG195" s="78">
        <f t="shared" si="210"/>
        <v>12650</v>
      </c>
      <c r="AH195" s="78">
        <v>-3050</v>
      </c>
      <c r="AI195" s="78">
        <f t="shared" si="211"/>
        <v>9600</v>
      </c>
      <c r="AJ195" s="78"/>
      <c r="AK195" s="78">
        <f t="shared" si="212"/>
        <v>9600</v>
      </c>
      <c r="AL195" s="78"/>
      <c r="AM195" s="78">
        <f t="shared" si="213"/>
        <v>9600</v>
      </c>
    </row>
    <row r="196" spans="1:39" s="23" customFormat="1" ht="21" customHeight="1">
      <c r="A196" s="83"/>
      <c r="B196" s="79"/>
      <c r="C196" s="64">
        <v>4410</v>
      </c>
      <c r="D196" s="37" t="s">
        <v>89</v>
      </c>
      <c r="E196" s="78">
        <v>4000</v>
      </c>
      <c r="F196" s="78"/>
      <c r="G196" s="78">
        <f t="shared" si="197"/>
        <v>4000</v>
      </c>
      <c r="H196" s="78"/>
      <c r="I196" s="78">
        <f t="shared" si="198"/>
        <v>4000</v>
      </c>
      <c r="J196" s="78"/>
      <c r="K196" s="78">
        <f t="shared" si="199"/>
        <v>4000</v>
      </c>
      <c r="L196" s="78"/>
      <c r="M196" s="78">
        <f t="shared" si="200"/>
        <v>4000</v>
      </c>
      <c r="N196" s="78"/>
      <c r="O196" s="78">
        <f t="shared" si="201"/>
        <v>4000</v>
      </c>
      <c r="P196" s="78"/>
      <c r="Q196" s="78">
        <f t="shared" si="202"/>
        <v>4000</v>
      </c>
      <c r="R196" s="78"/>
      <c r="S196" s="78">
        <f t="shared" si="203"/>
        <v>4000</v>
      </c>
      <c r="T196" s="78"/>
      <c r="U196" s="78">
        <f t="shared" si="204"/>
        <v>4000</v>
      </c>
      <c r="V196" s="78"/>
      <c r="W196" s="78">
        <f t="shared" si="205"/>
        <v>4000</v>
      </c>
      <c r="X196" s="78"/>
      <c r="Y196" s="78">
        <f t="shared" si="206"/>
        <v>4000</v>
      </c>
      <c r="Z196" s="78"/>
      <c r="AA196" s="78">
        <f t="shared" si="207"/>
        <v>4000</v>
      </c>
      <c r="AB196" s="78"/>
      <c r="AC196" s="78">
        <f t="shared" si="208"/>
        <v>4000</v>
      </c>
      <c r="AD196" s="78">
        <v>-1000</v>
      </c>
      <c r="AE196" s="78">
        <f t="shared" si="209"/>
        <v>3000</v>
      </c>
      <c r="AF196" s="78"/>
      <c r="AG196" s="78">
        <f t="shared" si="210"/>
        <v>3000</v>
      </c>
      <c r="AH196" s="78"/>
      <c r="AI196" s="78">
        <f t="shared" si="211"/>
        <v>3000</v>
      </c>
      <c r="AJ196" s="78"/>
      <c r="AK196" s="78">
        <f t="shared" si="212"/>
        <v>3000</v>
      </c>
      <c r="AL196" s="78"/>
      <c r="AM196" s="78">
        <f t="shared" si="213"/>
        <v>3000</v>
      </c>
    </row>
    <row r="197" spans="1:39" s="23" customFormat="1" ht="21" customHeight="1">
      <c r="A197" s="83"/>
      <c r="B197" s="79"/>
      <c r="C197" s="64">
        <v>4430</v>
      </c>
      <c r="D197" s="37" t="s">
        <v>93</v>
      </c>
      <c r="E197" s="78">
        <v>13006</v>
      </c>
      <c r="F197" s="78"/>
      <c r="G197" s="78">
        <f t="shared" si="197"/>
        <v>13006</v>
      </c>
      <c r="H197" s="78"/>
      <c r="I197" s="78">
        <f t="shared" si="198"/>
        <v>13006</v>
      </c>
      <c r="J197" s="78"/>
      <c r="K197" s="78">
        <f t="shared" si="199"/>
        <v>13006</v>
      </c>
      <c r="L197" s="78"/>
      <c r="M197" s="78">
        <f t="shared" si="200"/>
        <v>13006</v>
      </c>
      <c r="N197" s="78"/>
      <c r="O197" s="78">
        <f t="shared" si="201"/>
        <v>13006</v>
      </c>
      <c r="P197" s="78"/>
      <c r="Q197" s="78">
        <f t="shared" si="202"/>
        <v>13006</v>
      </c>
      <c r="R197" s="78">
        <v>144</v>
      </c>
      <c r="S197" s="78">
        <f t="shared" si="203"/>
        <v>13150</v>
      </c>
      <c r="T197" s="78"/>
      <c r="U197" s="78">
        <f t="shared" si="204"/>
        <v>13150</v>
      </c>
      <c r="V197" s="78"/>
      <c r="W197" s="78">
        <f t="shared" si="205"/>
        <v>13150</v>
      </c>
      <c r="X197" s="78"/>
      <c r="Y197" s="78">
        <f t="shared" si="206"/>
        <v>13150</v>
      </c>
      <c r="Z197" s="78"/>
      <c r="AA197" s="78">
        <f t="shared" si="207"/>
        <v>13150</v>
      </c>
      <c r="AB197" s="78"/>
      <c r="AC197" s="78">
        <f t="shared" si="208"/>
        <v>13150</v>
      </c>
      <c r="AD197" s="78"/>
      <c r="AE197" s="78">
        <f t="shared" si="209"/>
        <v>13150</v>
      </c>
      <c r="AF197" s="78"/>
      <c r="AG197" s="78">
        <f t="shared" si="210"/>
        <v>13150</v>
      </c>
      <c r="AH197" s="78"/>
      <c r="AI197" s="78">
        <f t="shared" si="211"/>
        <v>13150</v>
      </c>
      <c r="AJ197" s="78"/>
      <c r="AK197" s="78">
        <f t="shared" si="212"/>
        <v>13150</v>
      </c>
      <c r="AL197" s="78"/>
      <c r="AM197" s="78">
        <f t="shared" si="213"/>
        <v>13150</v>
      </c>
    </row>
    <row r="198" spans="1:39" s="23" customFormat="1" ht="24">
      <c r="A198" s="83"/>
      <c r="B198" s="79"/>
      <c r="C198" s="64">
        <v>6050</v>
      </c>
      <c r="D198" s="12" t="s">
        <v>72</v>
      </c>
      <c r="E198" s="78">
        <v>0</v>
      </c>
      <c r="F198" s="78">
        <f>200000+20000</f>
        <v>220000</v>
      </c>
      <c r="G198" s="78">
        <f t="shared" si="197"/>
        <v>220000</v>
      </c>
      <c r="H198" s="78"/>
      <c r="I198" s="78">
        <f t="shared" si="198"/>
        <v>220000</v>
      </c>
      <c r="J198" s="78"/>
      <c r="K198" s="78">
        <f t="shared" si="199"/>
        <v>220000</v>
      </c>
      <c r="L198" s="78"/>
      <c r="M198" s="78">
        <f t="shared" si="200"/>
        <v>220000</v>
      </c>
      <c r="N198" s="78"/>
      <c r="O198" s="78">
        <f t="shared" si="201"/>
        <v>220000</v>
      </c>
      <c r="P198" s="78"/>
      <c r="Q198" s="78">
        <f t="shared" si="202"/>
        <v>220000</v>
      </c>
      <c r="R198" s="78"/>
      <c r="S198" s="78">
        <f t="shared" si="203"/>
        <v>220000</v>
      </c>
      <c r="T198" s="78"/>
      <c r="U198" s="78">
        <f t="shared" si="204"/>
        <v>220000</v>
      </c>
      <c r="V198" s="78"/>
      <c r="W198" s="78">
        <f t="shared" si="205"/>
        <v>220000</v>
      </c>
      <c r="X198" s="78"/>
      <c r="Y198" s="78">
        <f t="shared" si="206"/>
        <v>220000</v>
      </c>
      <c r="Z198" s="78"/>
      <c r="AA198" s="78">
        <f t="shared" si="207"/>
        <v>220000</v>
      </c>
      <c r="AB198" s="78"/>
      <c r="AC198" s="78">
        <f t="shared" si="208"/>
        <v>220000</v>
      </c>
      <c r="AD198" s="78"/>
      <c r="AE198" s="78">
        <f t="shared" si="209"/>
        <v>220000</v>
      </c>
      <c r="AF198" s="78"/>
      <c r="AG198" s="78">
        <f t="shared" si="210"/>
        <v>220000</v>
      </c>
      <c r="AH198" s="78"/>
      <c r="AI198" s="78">
        <f t="shared" si="211"/>
        <v>220000</v>
      </c>
      <c r="AJ198" s="78"/>
      <c r="AK198" s="78">
        <f t="shared" si="212"/>
        <v>220000</v>
      </c>
      <c r="AL198" s="78"/>
      <c r="AM198" s="78">
        <f t="shared" si="213"/>
        <v>220000</v>
      </c>
    </row>
    <row r="199" spans="1:39" s="23" customFormat="1" ht="24">
      <c r="A199" s="83"/>
      <c r="B199" s="79"/>
      <c r="C199" s="64">
        <v>6060</v>
      </c>
      <c r="D199" s="37" t="s">
        <v>95</v>
      </c>
      <c r="E199" s="78">
        <v>25000</v>
      </c>
      <c r="F199" s="78"/>
      <c r="G199" s="78">
        <f t="shared" si="197"/>
        <v>25000</v>
      </c>
      <c r="H199" s="78"/>
      <c r="I199" s="78">
        <f t="shared" si="198"/>
        <v>25000</v>
      </c>
      <c r="J199" s="78"/>
      <c r="K199" s="78">
        <f t="shared" si="199"/>
        <v>25000</v>
      </c>
      <c r="L199" s="78"/>
      <c r="M199" s="78">
        <f t="shared" si="200"/>
        <v>25000</v>
      </c>
      <c r="N199" s="78"/>
      <c r="O199" s="78">
        <f t="shared" si="201"/>
        <v>25000</v>
      </c>
      <c r="P199" s="78"/>
      <c r="Q199" s="78">
        <f t="shared" si="202"/>
        <v>25000</v>
      </c>
      <c r="R199" s="78">
        <v>-2755</v>
      </c>
      <c r="S199" s="78">
        <f t="shared" si="203"/>
        <v>22245</v>
      </c>
      <c r="T199" s="78"/>
      <c r="U199" s="78">
        <f t="shared" si="204"/>
        <v>22245</v>
      </c>
      <c r="V199" s="78"/>
      <c r="W199" s="78">
        <f t="shared" si="205"/>
        <v>22245</v>
      </c>
      <c r="X199" s="78"/>
      <c r="Y199" s="78">
        <f t="shared" si="206"/>
        <v>22245</v>
      </c>
      <c r="Z199" s="78"/>
      <c r="AA199" s="78">
        <f t="shared" si="207"/>
        <v>22245</v>
      </c>
      <c r="AB199" s="78"/>
      <c r="AC199" s="78">
        <f t="shared" si="208"/>
        <v>22245</v>
      </c>
      <c r="AD199" s="78"/>
      <c r="AE199" s="78">
        <f t="shared" si="209"/>
        <v>22245</v>
      </c>
      <c r="AF199" s="78"/>
      <c r="AG199" s="78">
        <f t="shared" si="210"/>
        <v>22245</v>
      </c>
      <c r="AH199" s="78"/>
      <c r="AI199" s="78">
        <f t="shared" si="211"/>
        <v>22245</v>
      </c>
      <c r="AJ199" s="78"/>
      <c r="AK199" s="78">
        <f t="shared" si="212"/>
        <v>22245</v>
      </c>
      <c r="AL199" s="78"/>
      <c r="AM199" s="78">
        <f t="shared" si="213"/>
        <v>22245</v>
      </c>
    </row>
    <row r="200" spans="1:39" s="23" customFormat="1" ht="21" customHeight="1">
      <c r="A200" s="83"/>
      <c r="B200" s="79">
        <v>75416</v>
      </c>
      <c r="C200" s="83"/>
      <c r="D200" s="37" t="s">
        <v>25</v>
      </c>
      <c r="E200" s="78">
        <f aca="true" t="shared" si="214" ref="E200:W200">SUM(E201:E216)</f>
        <v>275000</v>
      </c>
      <c r="F200" s="78">
        <f t="shared" si="214"/>
        <v>0</v>
      </c>
      <c r="G200" s="78">
        <f t="shared" si="214"/>
        <v>275000</v>
      </c>
      <c r="H200" s="78">
        <f t="shared" si="214"/>
        <v>0</v>
      </c>
      <c r="I200" s="78">
        <f t="shared" si="214"/>
        <v>275000</v>
      </c>
      <c r="J200" s="78">
        <f t="shared" si="214"/>
        <v>0</v>
      </c>
      <c r="K200" s="78">
        <f t="shared" si="214"/>
        <v>275000</v>
      </c>
      <c r="L200" s="78">
        <f t="shared" si="214"/>
        <v>-711</v>
      </c>
      <c r="M200" s="78">
        <f t="shared" si="214"/>
        <v>274289</v>
      </c>
      <c r="N200" s="78">
        <f t="shared" si="214"/>
        <v>0</v>
      </c>
      <c r="O200" s="78">
        <f t="shared" si="214"/>
        <v>274289</v>
      </c>
      <c r="P200" s="78">
        <f t="shared" si="214"/>
        <v>0</v>
      </c>
      <c r="Q200" s="78">
        <f t="shared" si="214"/>
        <v>274289</v>
      </c>
      <c r="R200" s="78">
        <f t="shared" si="214"/>
        <v>0</v>
      </c>
      <c r="S200" s="78">
        <f t="shared" si="214"/>
        <v>274289</v>
      </c>
      <c r="T200" s="78">
        <f t="shared" si="214"/>
        <v>0</v>
      </c>
      <c r="U200" s="78">
        <f t="shared" si="214"/>
        <v>274289</v>
      </c>
      <c r="V200" s="78">
        <f t="shared" si="214"/>
        <v>0</v>
      </c>
      <c r="W200" s="78">
        <f t="shared" si="214"/>
        <v>274289</v>
      </c>
      <c r="X200" s="78">
        <f>SUM(X201:X216)</f>
        <v>0</v>
      </c>
      <c r="Y200" s="78">
        <f>SUM(Y201:Y216)</f>
        <v>274289</v>
      </c>
      <c r="Z200" s="78">
        <f>SUM(Z201:Z216)</f>
        <v>0</v>
      </c>
      <c r="AA200" s="78">
        <f>SUM(AA201:AA216)</f>
        <v>274289</v>
      </c>
      <c r="AB200" s="78">
        <f>SUM(AB201:AB216)</f>
        <v>0</v>
      </c>
      <c r="AC200" s="78">
        <f aca="true" t="shared" si="215" ref="AC200:AI200">SUM(AC201:AC217)</f>
        <v>274289</v>
      </c>
      <c r="AD200" s="78">
        <f t="shared" si="215"/>
        <v>0</v>
      </c>
      <c r="AE200" s="78">
        <f t="shared" si="215"/>
        <v>274289</v>
      </c>
      <c r="AF200" s="78">
        <f t="shared" si="215"/>
        <v>0</v>
      </c>
      <c r="AG200" s="78">
        <f t="shared" si="215"/>
        <v>274289</v>
      </c>
      <c r="AH200" s="78">
        <f t="shared" si="215"/>
        <v>0</v>
      </c>
      <c r="AI200" s="78">
        <f t="shared" si="215"/>
        <v>274289</v>
      </c>
      <c r="AJ200" s="78">
        <f>SUM(AJ201:AJ217)</f>
        <v>-3120</v>
      </c>
      <c r="AK200" s="78">
        <f>SUM(AK201:AK217)</f>
        <v>271169</v>
      </c>
      <c r="AL200" s="78">
        <f>SUM(AL201:AL217)</f>
        <v>0</v>
      </c>
      <c r="AM200" s="78">
        <f>SUM(AM201:AM217)</f>
        <v>271169</v>
      </c>
    </row>
    <row r="201" spans="1:39" s="23" customFormat="1" ht="24">
      <c r="A201" s="83"/>
      <c r="B201" s="79"/>
      <c r="C201" s="64">
        <v>3020</v>
      </c>
      <c r="D201" s="37" t="s">
        <v>187</v>
      </c>
      <c r="E201" s="78">
        <v>7100</v>
      </c>
      <c r="F201" s="78"/>
      <c r="G201" s="78">
        <f>SUM(E201:F201)</f>
        <v>7100</v>
      </c>
      <c r="H201" s="78"/>
      <c r="I201" s="78">
        <f>SUM(G201:H201)</f>
        <v>7100</v>
      </c>
      <c r="J201" s="78"/>
      <c r="K201" s="78">
        <f>SUM(I201:J201)</f>
        <v>7100</v>
      </c>
      <c r="L201" s="78"/>
      <c r="M201" s="78">
        <f>SUM(K201:L201)</f>
        <v>7100</v>
      </c>
      <c r="N201" s="78"/>
      <c r="O201" s="78">
        <f>SUM(M201:N201)</f>
        <v>7100</v>
      </c>
      <c r="P201" s="78"/>
      <c r="Q201" s="78">
        <f>SUM(O201:P201)</f>
        <v>7100</v>
      </c>
      <c r="R201" s="78"/>
      <c r="S201" s="78">
        <f>SUM(Q201:R201)</f>
        <v>7100</v>
      </c>
      <c r="T201" s="78"/>
      <c r="U201" s="78">
        <f>SUM(S201:T201)</f>
        <v>7100</v>
      </c>
      <c r="V201" s="78"/>
      <c r="W201" s="78">
        <f>SUM(U201:V201)</f>
        <v>7100</v>
      </c>
      <c r="X201" s="78"/>
      <c r="Y201" s="78">
        <f>SUM(W201:X201)</f>
        <v>7100</v>
      </c>
      <c r="Z201" s="78"/>
      <c r="AA201" s="78">
        <f>SUM(Y201:Z201)</f>
        <v>7100</v>
      </c>
      <c r="AB201" s="78"/>
      <c r="AC201" s="78">
        <f>SUM(AA201:AB201)</f>
        <v>7100</v>
      </c>
      <c r="AD201" s="78"/>
      <c r="AE201" s="78">
        <f>SUM(AC201:AD201)</f>
        <v>7100</v>
      </c>
      <c r="AF201" s="78"/>
      <c r="AG201" s="78">
        <f>SUM(AE201:AF201)</f>
        <v>7100</v>
      </c>
      <c r="AH201" s="78"/>
      <c r="AI201" s="78">
        <f>SUM(AG201:AH201)</f>
        <v>7100</v>
      </c>
      <c r="AJ201" s="78">
        <v>1800</v>
      </c>
      <c r="AK201" s="78">
        <f>SUM(AI201:AJ201)</f>
        <v>8900</v>
      </c>
      <c r="AL201" s="78"/>
      <c r="AM201" s="78">
        <f>SUM(AK201:AL201)</f>
        <v>8900</v>
      </c>
    </row>
    <row r="202" spans="1:42" s="23" customFormat="1" ht="21" customHeight="1">
      <c r="A202" s="83"/>
      <c r="B202" s="79"/>
      <c r="C202" s="64">
        <v>4010</v>
      </c>
      <c r="D202" s="37" t="s">
        <v>83</v>
      </c>
      <c r="E202" s="78">
        <v>186240</v>
      </c>
      <c r="F202" s="78"/>
      <c r="G202" s="78">
        <f aca="true" t="shared" si="216" ref="G202:G216">SUM(E202:F202)</f>
        <v>186240</v>
      </c>
      <c r="H202" s="78"/>
      <c r="I202" s="78">
        <f aca="true" t="shared" si="217" ref="I202:I216">SUM(G202:H202)</f>
        <v>186240</v>
      </c>
      <c r="J202" s="78"/>
      <c r="K202" s="78">
        <f aca="true" t="shared" si="218" ref="K202:K216">SUM(I202:J202)</f>
        <v>186240</v>
      </c>
      <c r="L202" s="78"/>
      <c r="M202" s="78">
        <f aca="true" t="shared" si="219" ref="M202:M216">SUM(K202:L202)</f>
        <v>186240</v>
      </c>
      <c r="N202" s="78"/>
      <c r="O202" s="78">
        <f aca="true" t="shared" si="220" ref="O202:O216">SUM(M202:N202)</f>
        <v>186240</v>
      </c>
      <c r="P202" s="78">
        <v>-3691</v>
      </c>
      <c r="Q202" s="78">
        <f aca="true" t="shared" si="221" ref="Q202:Q216">SUM(O202:P202)</f>
        <v>182549</v>
      </c>
      <c r="R202" s="78">
        <v>610</v>
      </c>
      <c r="S202" s="78">
        <f aca="true" t="shared" si="222" ref="S202:S216">SUM(Q202:R202)</f>
        <v>183159</v>
      </c>
      <c r="T202" s="78"/>
      <c r="U202" s="78">
        <f aca="true" t="shared" si="223" ref="U202:U216">SUM(S202:T202)</f>
        <v>183159</v>
      </c>
      <c r="V202" s="78"/>
      <c r="W202" s="78">
        <f aca="true" t="shared" si="224" ref="W202:W216">SUM(U202:V202)</f>
        <v>183159</v>
      </c>
      <c r="X202" s="78"/>
      <c r="Y202" s="78">
        <f aca="true" t="shared" si="225" ref="Y202:Y216">SUM(W202:X202)</f>
        <v>183159</v>
      </c>
      <c r="Z202" s="78"/>
      <c r="AA202" s="78">
        <f aca="true" t="shared" si="226" ref="AA202:AA216">SUM(Y202:Z202)</f>
        <v>183159</v>
      </c>
      <c r="AB202" s="78"/>
      <c r="AC202" s="78">
        <f aca="true" t="shared" si="227" ref="AC202:AC216">SUM(AA202:AB202)</f>
        <v>183159</v>
      </c>
      <c r="AD202" s="78"/>
      <c r="AE202" s="78">
        <f aca="true" t="shared" si="228" ref="AE202:AE217">SUM(AC202:AD202)</f>
        <v>183159</v>
      </c>
      <c r="AF202" s="78"/>
      <c r="AG202" s="78">
        <f aca="true" t="shared" si="229" ref="AG202:AG217">SUM(AE202:AF202)</f>
        <v>183159</v>
      </c>
      <c r="AH202" s="78"/>
      <c r="AI202" s="78">
        <f aca="true" t="shared" si="230" ref="AI202:AI217">SUM(AG202:AH202)</f>
        <v>183159</v>
      </c>
      <c r="AJ202" s="78"/>
      <c r="AK202" s="78">
        <f aca="true" t="shared" si="231" ref="AK202:AK217">SUM(AI202:AJ202)</f>
        <v>183159</v>
      </c>
      <c r="AL202" s="78"/>
      <c r="AM202" s="78">
        <f aca="true" t="shared" si="232" ref="AM202:AM217">SUM(AK202:AL202)</f>
        <v>183159</v>
      </c>
      <c r="AN202" s="113"/>
      <c r="AO202" s="113"/>
      <c r="AP202" s="113"/>
    </row>
    <row r="203" spans="1:42" s="23" customFormat="1" ht="21" customHeight="1">
      <c r="A203" s="83"/>
      <c r="B203" s="79"/>
      <c r="C203" s="64">
        <v>4040</v>
      </c>
      <c r="D203" s="37" t="s">
        <v>84</v>
      </c>
      <c r="E203" s="78">
        <v>13500</v>
      </c>
      <c r="F203" s="78"/>
      <c r="G203" s="78">
        <f t="shared" si="216"/>
        <v>13500</v>
      </c>
      <c r="H203" s="78"/>
      <c r="I203" s="78">
        <f t="shared" si="217"/>
        <v>13500</v>
      </c>
      <c r="J203" s="78"/>
      <c r="K203" s="78">
        <f t="shared" si="218"/>
        <v>13500</v>
      </c>
      <c r="L203" s="78">
        <v>-711</v>
      </c>
      <c r="M203" s="78">
        <f t="shared" si="219"/>
        <v>12789</v>
      </c>
      <c r="N203" s="78"/>
      <c r="O203" s="78">
        <f t="shared" si="220"/>
        <v>12789</v>
      </c>
      <c r="P203" s="78"/>
      <c r="Q203" s="78">
        <f t="shared" si="221"/>
        <v>12789</v>
      </c>
      <c r="R203" s="78"/>
      <c r="S203" s="78">
        <f t="shared" si="222"/>
        <v>12789</v>
      </c>
      <c r="T203" s="78"/>
      <c r="U203" s="78">
        <f t="shared" si="223"/>
        <v>12789</v>
      </c>
      <c r="V203" s="78"/>
      <c r="W203" s="78">
        <f t="shared" si="224"/>
        <v>12789</v>
      </c>
      <c r="X203" s="78"/>
      <c r="Y203" s="78">
        <f t="shared" si="225"/>
        <v>12789</v>
      </c>
      <c r="Z203" s="78"/>
      <c r="AA203" s="78">
        <f t="shared" si="226"/>
        <v>12789</v>
      </c>
      <c r="AB203" s="78"/>
      <c r="AC203" s="78">
        <f t="shared" si="227"/>
        <v>12789</v>
      </c>
      <c r="AD203" s="78"/>
      <c r="AE203" s="78">
        <f t="shared" si="228"/>
        <v>12789</v>
      </c>
      <c r="AF203" s="78"/>
      <c r="AG203" s="78">
        <f t="shared" si="229"/>
        <v>12789</v>
      </c>
      <c r="AH203" s="78"/>
      <c r="AI203" s="78">
        <f t="shared" si="230"/>
        <v>12789</v>
      </c>
      <c r="AJ203" s="78"/>
      <c r="AK203" s="78">
        <f t="shared" si="231"/>
        <v>12789</v>
      </c>
      <c r="AL203" s="78"/>
      <c r="AM203" s="78">
        <f t="shared" si="232"/>
        <v>12789</v>
      </c>
      <c r="AN203" s="113"/>
      <c r="AO203" s="113"/>
      <c r="AP203" s="113"/>
    </row>
    <row r="204" spans="1:42" s="23" customFormat="1" ht="21" customHeight="1">
      <c r="A204" s="83"/>
      <c r="B204" s="79"/>
      <c r="C204" s="64">
        <v>4110</v>
      </c>
      <c r="D204" s="37" t="s">
        <v>85</v>
      </c>
      <c r="E204" s="78">
        <v>29000</v>
      </c>
      <c r="F204" s="78"/>
      <c r="G204" s="78">
        <f t="shared" si="216"/>
        <v>29000</v>
      </c>
      <c r="H204" s="78"/>
      <c r="I204" s="78">
        <f t="shared" si="217"/>
        <v>29000</v>
      </c>
      <c r="J204" s="78"/>
      <c r="K204" s="78">
        <f t="shared" si="218"/>
        <v>29000</v>
      </c>
      <c r="L204" s="78"/>
      <c r="M204" s="78">
        <f t="shared" si="219"/>
        <v>29000</v>
      </c>
      <c r="N204" s="78"/>
      <c r="O204" s="78">
        <f t="shared" si="220"/>
        <v>29000</v>
      </c>
      <c r="P204" s="78">
        <v>3575</v>
      </c>
      <c r="Q204" s="78">
        <f t="shared" si="221"/>
        <v>32575</v>
      </c>
      <c r="R204" s="78"/>
      <c r="S204" s="78">
        <f t="shared" si="222"/>
        <v>32575</v>
      </c>
      <c r="T204" s="78"/>
      <c r="U204" s="78">
        <f t="shared" si="223"/>
        <v>32575</v>
      </c>
      <c r="V204" s="78"/>
      <c r="W204" s="78">
        <f t="shared" si="224"/>
        <v>32575</v>
      </c>
      <c r="X204" s="78"/>
      <c r="Y204" s="78">
        <f t="shared" si="225"/>
        <v>32575</v>
      </c>
      <c r="Z204" s="78"/>
      <c r="AA204" s="78">
        <f t="shared" si="226"/>
        <v>32575</v>
      </c>
      <c r="AB204" s="78"/>
      <c r="AC204" s="78">
        <f t="shared" si="227"/>
        <v>32575</v>
      </c>
      <c r="AD204" s="78"/>
      <c r="AE204" s="78">
        <f t="shared" si="228"/>
        <v>32575</v>
      </c>
      <c r="AF204" s="78"/>
      <c r="AG204" s="78">
        <f t="shared" si="229"/>
        <v>32575</v>
      </c>
      <c r="AH204" s="78"/>
      <c r="AI204" s="78">
        <f t="shared" si="230"/>
        <v>32575</v>
      </c>
      <c r="AJ204" s="78"/>
      <c r="AK204" s="78">
        <f t="shared" si="231"/>
        <v>32575</v>
      </c>
      <c r="AL204" s="78"/>
      <c r="AM204" s="78">
        <f t="shared" si="232"/>
        <v>32575</v>
      </c>
      <c r="AN204" s="113"/>
      <c r="AO204" s="113"/>
      <c r="AP204" s="113"/>
    </row>
    <row r="205" spans="1:42" s="23" customFormat="1" ht="21" customHeight="1">
      <c r="A205" s="83"/>
      <c r="B205" s="79"/>
      <c r="C205" s="64">
        <v>4120</v>
      </c>
      <c r="D205" s="37" t="s">
        <v>86</v>
      </c>
      <c r="E205" s="78">
        <v>4800</v>
      </c>
      <c r="F205" s="78"/>
      <c r="G205" s="78">
        <f t="shared" si="216"/>
        <v>4800</v>
      </c>
      <c r="H205" s="78"/>
      <c r="I205" s="78">
        <f t="shared" si="217"/>
        <v>4800</v>
      </c>
      <c r="J205" s="78"/>
      <c r="K205" s="78">
        <f t="shared" si="218"/>
        <v>4800</v>
      </c>
      <c r="L205" s="78"/>
      <c r="M205" s="78">
        <f t="shared" si="219"/>
        <v>4800</v>
      </c>
      <c r="N205" s="78"/>
      <c r="O205" s="78">
        <f t="shared" si="220"/>
        <v>4800</v>
      </c>
      <c r="P205" s="78">
        <v>116</v>
      </c>
      <c r="Q205" s="78">
        <f t="shared" si="221"/>
        <v>4916</v>
      </c>
      <c r="R205" s="78"/>
      <c r="S205" s="78">
        <f t="shared" si="222"/>
        <v>4916</v>
      </c>
      <c r="T205" s="78"/>
      <c r="U205" s="78">
        <f t="shared" si="223"/>
        <v>4916</v>
      </c>
      <c r="V205" s="78"/>
      <c r="W205" s="78">
        <f t="shared" si="224"/>
        <v>4916</v>
      </c>
      <c r="X205" s="78"/>
      <c r="Y205" s="78">
        <f t="shared" si="225"/>
        <v>4916</v>
      </c>
      <c r="Z205" s="78"/>
      <c r="AA205" s="78">
        <f t="shared" si="226"/>
        <v>4916</v>
      </c>
      <c r="AB205" s="78"/>
      <c r="AC205" s="78">
        <f t="shared" si="227"/>
        <v>4916</v>
      </c>
      <c r="AD205" s="78"/>
      <c r="AE205" s="78">
        <f t="shared" si="228"/>
        <v>4916</v>
      </c>
      <c r="AF205" s="78"/>
      <c r="AG205" s="78">
        <f t="shared" si="229"/>
        <v>4916</v>
      </c>
      <c r="AH205" s="78"/>
      <c r="AI205" s="78">
        <f t="shared" si="230"/>
        <v>4916</v>
      </c>
      <c r="AJ205" s="78"/>
      <c r="AK205" s="78">
        <f t="shared" si="231"/>
        <v>4916</v>
      </c>
      <c r="AL205" s="78"/>
      <c r="AM205" s="78">
        <f t="shared" si="232"/>
        <v>4916</v>
      </c>
      <c r="AN205" s="113"/>
      <c r="AO205" s="113"/>
      <c r="AP205" s="113"/>
    </row>
    <row r="206" spans="1:39" s="23" customFormat="1" ht="21" customHeight="1">
      <c r="A206" s="83"/>
      <c r="B206" s="79"/>
      <c r="C206" s="64">
        <v>4210</v>
      </c>
      <c r="D206" s="37" t="s">
        <v>91</v>
      </c>
      <c r="E206" s="78">
        <v>10850</v>
      </c>
      <c r="F206" s="78"/>
      <c r="G206" s="78">
        <f t="shared" si="216"/>
        <v>10850</v>
      </c>
      <c r="H206" s="78"/>
      <c r="I206" s="78">
        <f t="shared" si="217"/>
        <v>10850</v>
      </c>
      <c r="J206" s="78">
        <v>-112</v>
      </c>
      <c r="K206" s="78">
        <f t="shared" si="218"/>
        <v>10738</v>
      </c>
      <c r="L206" s="78"/>
      <c r="M206" s="78">
        <f t="shared" si="219"/>
        <v>10738</v>
      </c>
      <c r="N206" s="78"/>
      <c r="O206" s="78">
        <f t="shared" si="220"/>
        <v>10738</v>
      </c>
      <c r="P206" s="78"/>
      <c r="Q206" s="78">
        <f t="shared" si="221"/>
        <v>10738</v>
      </c>
      <c r="R206" s="78"/>
      <c r="S206" s="78">
        <f t="shared" si="222"/>
        <v>10738</v>
      </c>
      <c r="T206" s="78"/>
      <c r="U206" s="78">
        <f t="shared" si="223"/>
        <v>10738</v>
      </c>
      <c r="V206" s="78"/>
      <c r="W206" s="78">
        <f t="shared" si="224"/>
        <v>10738</v>
      </c>
      <c r="X206" s="78"/>
      <c r="Y206" s="78">
        <f t="shared" si="225"/>
        <v>10738</v>
      </c>
      <c r="Z206" s="78"/>
      <c r="AA206" s="78">
        <f t="shared" si="226"/>
        <v>10738</v>
      </c>
      <c r="AB206" s="78"/>
      <c r="AC206" s="78">
        <f t="shared" si="227"/>
        <v>10738</v>
      </c>
      <c r="AD206" s="78">
        <v>-100</v>
      </c>
      <c r="AE206" s="78">
        <f t="shared" si="228"/>
        <v>10638</v>
      </c>
      <c r="AF206" s="78"/>
      <c r="AG206" s="78">
        <f t="shared" si="229"/>
        <v>10638</v>
      </c>
      <c r="AH206" s="78">
        <v>2000</v>
      </c>
      <c r="AI206" s="78">
        <f t="shared" si="230"/>
        <v>12638</v>
      </c>
      <c r="AJ206" s="78">
        <v>-2610</v>
      </c>
      <c r="AK206" s="78">
        <f t="shared" si="231"/>
        <v>10028</v>
      </c>
      <c r="AL206" s="78"/>
      <c r="AM206" s="78">
        <f t="shared" si="232"/>
        <v>10028</v>
      </c>
    </row>
    <row r="207" spans="1:39" s="23" customFormat="1" ht="21" customHeight="1">
      <c r="A207" s="83"/>
      <c r="B207" s="79"/>
      <c r="C207" s="64">
        <v>4270</v>
      </c>
      <c r="D207" s="37" t="s">
        <v>77</v>
      </c>
      <c r="E207" s="78">
        <v>1000</v>
      </c>
      <c r="F207" s="78"/>
      <c r="G207" s="78">
        <f t="shared" si="216"/>
        <v>1000</v>
      </c>
      <c r="H207" s="78"/>
      <c r="I207" s="78">
        <f t="shared" si="217"/>
        <v>1000</v>
      </c>
      <c r="J207" s="78">
        <v>200</v>
      </c>
      <c r="K207" s="78">
        <f t="shared" si="218"/>
        <v>1200</v>
      </c>
      <c r="L207" s="78"/>
      <c r="M207" s="78">
        <f t="shared" si="219"/>
        <v>1200</v>
      </c>
      <c r="N207" s="78"/>
      <c r="O207" s="78">
        <f t="shared" si="220"/>
        <v>1200</v>
      </c>
      <c r="P207" s="78"/>
      <c r="Q207" s="78">
        <f t="shared" si="221"/>
        <v>1200</v>
      </c>
      <c r="R207" s="78"/>
      <c r="S207" s="78">
        <f t="shared" si="222"/>
        <v>1200</v>
      </c>
      <c r="T207" s="78"/>
      <c r="U207" s="78">
        <f t="shared" si="223"/>
        <v>1200</v>
      </c>
      <c r="V207" s="78"/>
      <c r="W207" s="78">
        <f t="shared" si="224"/>
        <v>1200</v>
      </c>
      <c r="X207" s="78"/>
      <c r="Y207" s="78">
        <f t="shared" si="225"/>
        <v>1200</v>
      </c>
      <c r="Z207" s="78"/>
      <c r="AA207" s="78">
        <f t="shared" si="226"/>
        <v>1200</v>
      </c>
      <c r="AB207" s="78"/>
      <c r="AC207" s="78">
        <f t="shared" si="227"/>
        <v>1200</v>
      </c>
      <c r="AD207" s="78"/>
      <c r="AE207" s="78">
        <f t="shared" si="228"/>
        <v>1200</v>
      </c>
      <c r="AF207" s="78"/>
      <c r="AG207" s="78">
        <f t="shared" si="229"/>
        <v>1200</v>
      </c>
      <c r="AH207" s="78"/>
      <c r="AI207" s="78">
        <f t="shared" si="230"/>
        <v>1200</v>
      </c>
      <c r="AJ207" s="78"/>
      <c r="AK207" s="78">
        <f t="shared" si="231"/>
        <v>1200</v>
      </c>
      <c r="AL207" s="78"/>
      <c r="AM207" s="78">
        <f t="shared" si="232"/>
        <v>1200</v>
      </c>
    </row>
    <row r="208" spans="1:39" s="23" customFormat="1" ht="21" customHeight="1">
      <c r="A208" s="83"/>
      <c r="B208" s="79"/>
      <c r="C208" s="64">
        <v>4280</v>
      </c>
      <c r="D208" s="37" t="s">
        <v>216</v>
      </c>
      <c r="E208" s="78">
        <v>500</v>
      </c>
      <c r="F208" s="78"/>
      <c r="G208" s="78">
        <f t="shared" si="216"/>
        <v>500</v>
      </c>
      <c r="H208" s="78"/>
      <c r="I208" s="78">
        <f t="shared" si="217"/>
        <v>500</v>
      </c>
      <c r="J208" s="78"/>
      <c r="K208" s="78">
        <f t="shared" si="218"/>
        <v>500</v>
      </c>
      <c r="L208" s="78"/>
      <c r="M208" s="78">
        <f t="shared" si="219"/>
        <v>500</v>
      </c>
      <c r="N208" s="78"/>
      <c r="O208" s="78">
        <f t="shared" si="220"/>
        <v>500</v>
      </c>
      <c r="P208" s="78"/>
      <c r="Q208" s="78">
        <f t="shared" si="221"/>
        <v>500</v>
      </c>
      <c r="R208" s="78"/>
      <c r="S208" s="78">
        <f t="shared" si="222"/>
        <v>500</v>
      </c>
      <c r="T208" s="78"/>
      <c r="U208" s="78">
        <f t="shared" si="223"/>
        <v>500</v>
      </c>
      <c r="V208" s="78"/>
      <c r="W208" s="78">
        <f t="shared" si="224"/>
        <v>500</v>
      </c>
      <c r="X208" s="78"/>
      <c r="Y208" s="78">
        <f t="shared" si="225"/>
        <v>500</v>
      </c>
      <c r="Z208" s="78"/>
      <c r="AA208" s="78">
        <f t="shared" si="226"/>
        <v>500</v>
      </c>
      <c r="AB208" s="78"/>
      <c r="AC208" s="78">
        <f t="shared" si="227"/>
        <v>500</v>
      </c>
      <c r="AD208" s="78"/>
      <c r="AE208" s="78">
        <f t="shared" si="228"/>
        <v>500</v>
      </c>
      <c r="AF208" s="78"/>
      <c r="AG208" s="78">
        <f t="shared" si="229"/>
        <v>500</v>
      </c>
      <c r="AH208" s="78"/>
      <c r="AI208" s="78">
        <f t="shared" si="230"/>
        <v>500</v>
      </c>
      <c r="AJ208" s="78"/>
      <c r="AK208" s="78">
        <f t="shared" si="231"/>
        <v>500</v>
      </c>
      <c r="AL208" s="78"/>
      <c r="AM208" s="78">
        <f t="shared" si="232"/>
        <v>500</v>
      </c>
    </row>
    <row r="209" spans="1:39" s="23" customFormat="1" ht="21" customHeight="1">
      <c r="A209" s="83"/>
      <c r="B209" s="79"/>
      <c r="C209" s="64">
        <v>4300</v>
      </c>
      <c r="D209" s="37" t="s">
        <v>78</v>
      </c>
      <c r="E209" s="78">
        <v>4700</v>
      </c>
      <c r="F209" s="78"/>
      <c r="G209" s="78">
        <f t="shared" si="216"/>
        <v>4700</v>
      </c>
      <c r="H209" s="78"/>
      <c r="I209" s="78">
        <f t="shared" si="217"/>
        <v>4700</v>
      </c>
      <c r="J209" s="78">
        <v>-200</v>
      </c>
      <c r="K209" s="78">
        <f t="shared" si="218"/>
        <v>4500</v>
      </c>
      <c r="L209" s="78"/>
      <c r="M209" s="78">
        <f t="shared" si="219"/>
        <v>4500</v>
      </c>
      <c r="N209" s="78"/>
      <c r="O209" s="78">
        <f t="shared" si="220"/>
        <v>4500</v>
      </c>
      <c r="P209" s="78"/>
      <c r="Q209" s="78">
        <f t="shared" si="221"/>
        <v>4500</v>
      </c>
      <c r="R209" s="78"/>
      <c r="S209" s="78">
        <f t="shared" si="222"/>
        <v>4500</v>
      </c>
      <c r="T209" s="78"/>
      <c r="U209" s="78">
        <f t="shared" si="223"/>
        <v>4500</v>
      </c>
      <c r="V209" s="78"/>
      <c r="W209" s="78">
        <f t="shared" si="224"/>
        <v>4500</v>
      </c>
      <c r="X209" s="78"/>
      <c r="Y209" s="78">
        <f t="shared" si="225"/>
        <v>4500</v>
      </c>
      <c r="Z209" s="78"/>
      <c r="AA209" s="78">
        <f t="shared" si="226"/>
        <v>4500</v>
      </c>
      <c r="AB209" s="78"/>
      <c r="AC209" s="78">
        <f t="shared" si="227"/>
        <v>4500</v>
      </c>
      <c r="AD209" s="78"/>
      <c r="AE209" s="78">
        <f t="shared" si="228"/>
        <v>4500</v>
      </c>
      <c r="AF209" s="78"/>
      <c r="AG209" s="78">
        <f t="shared" si="229"/>
        <v>4500</v>
      </c>
      <c r="AH209" s="78">
        <v>500</v>
      </c>
      <c r="AI209" s="78">
        <f t="shared" si="230"/>
        <v>5000</v>
      </c>
      <c r="AJ209" s="78">
        <v>200</v>
      </c>
      <c r="AK209" s="78">
        <f t="shared" si="231"/>
        <v>5200</v>
      </c>
      <c r="AL209" s="78">
        <v>-380</v>
      </c>
      <c r="AM209" s="78">
        <f t="shared" si="232"/>
        <v>4820</v>
      </c>
    </row>
    <row r="210" spans="1:39" s="23" customFormat="1" ht="36">
      <c r="A210" s="83"/>
      <c r="B210" s="79"/>
      <c r="C210" s="64">
        <v>4360</v>
      </c>
      <c r="D210" s="37" t="s">
        <v>363</v>
      </c>
      <c r="E210" s="78">
        <v>2200</v>
      </c>
      <c r="F210" s="78"/>
      <c r="G210" s="78">
        <f t="shared" si="216"/>
        <v>2200</v>
      </c>
      <c r="H210" s="78"/>
      <c r="I210" s="78">
        <f t="shared" si="217"/>
        <v>2200</v>
      </c>
      <c r="J210" s="78"/>
      <c r="K210" s="78">
        <f t="shared" si="218"/>
        <v>2200</v>
      </c>
      <c r="L210" s="78"/>
      <c r="M210" s="78">
        <f t="shared" si="219"/>
        <v>2200</v>
      </c>
      <c r="N210" s="78"/>
      <c r="O210" s="78">
        <f t="shared" si="220"/>
        <v>2200</v>
      </c>
      <c r="P210" s="78"/>
      <c r="Q210" s="78">
        <f t="shared" si="221"/>
        <v>2200</v>
      </c>
      <c r="R210" s="78"/>
      <c r="S210" s="78">
        <f t="shared" si="222"/>
        <v>2200</v>
      </c>
      <c r="T210" s="78"/>
      <c r="U210" s="78">
        <f t="shared" si="223"/>
        <v>2200</v>
      </c>
      <c r="V210" s="78"/>
      <c r="W210" s="78">
        <f t="shared" si="224"/>
        <v>2200</v>
      </c>
      <c r="X210" s="78"/>
      <c r="Y210" s="78">
        <f t="shared" si="225"/>
        <v>2200</v>
      </c>
      <c r="Z210" s="78"/>
      <c r="AA210" s="78">
        <f t="shared" si="226"/>
        <v>2200</v>
      </c>
      <c r="AB210" s="78"/>
      <c r="AC210" s="78">
        <f t="shared" si="227"/>
        <v>2200</v>
      </c>
      <c r="AD210" s="78"/>
      <c r="AE210" s="78">
        <f t="shared" si="228"/>
        <v>2200</v>
      </c>
      <c r="AF210" s="78"/>
      <c r="AG210" s="78">
        <f t="shared" si="229"/>
        <v>2200</v>
      </c>
      <c r="AH210" s="78"/>
      <c r="AI210" s="78">
        <f t="shared" si="230"/>
        <v>2200</v>
      </c>
      <c r="AJ210" s="78">
        <v>-720</v>
      </c>
      <c r="AK210" s="78">
        <f t="shared" si="231"/>
        <v>1480</v>
      </c>
      <c r="AL210" s="78"/>
      <c r="AM210" s="78">
        <f t="shared" si="232"/>
        <v>1480</v>
      </c>
    </row>
    <row r="211" spans="1:39" s="23" customFormat="1" ht="27.75" customHeight="1">
      <c r="A211" s="83"/>
      <c r="B211" s="79"/>
      <c r="C211" s="64">
        <v>4400</v>
      </c>
      <c r="D211" s="37" t="s">
        <v>226</v>
      </c>
      <c r="E211" s="78">
        <v>560</v>
      </c>
      <c r="F211" s="78"/>
      <c r="G211" s="78">
        <f t="shared" si="216"/>
        <v>560</v>
      </c>
      <c r="H211" s="78"/>
      <c r="I211" s="78">
        <f t="shared" si="217"/>
        <v>560</v>
      </c>
      <c r="J211" s="78">
        <v>112</v>
      </c>
      <c r="K211" s="78">
        <f t="shared" si="218"/>
        <v>672</v>
      </c>
      <c r="L211" s="78"/>
      <c r="M211" s="78">
        <f t="shared" si="219"/>
        <v>672</v>
      </c>
      <c r="N211" s="78"/>
      <c r="O211" s="78">
        <f t="shared" si="220"/>
        <v>672</v>
      </c>
      <c r="P211" s="78"/>
      <c r="Q211" s="78">
        <f t="shared" si="221"/>
        <v>672</v>
      </c>
      <c r="R211" s="78"/>
      <c r="S211" s="78">
        <f t="shared" si="222"/>
        <v>672</v>
      </c>
      <c r="T211" s="78"/>
      <c r="U211" s="78">
        <f t="shared" si="223"/>
        <v>672</v>
      </c>
      <c r="V211" s="78"/>
      <c r="W211" s="78">
        <f t="shared" si="224"/>
        <v>672</v>
      </c>
      <c r="X211" s="78"/>
      <c r="Y211" s="78">
        <f t="shared" si="225"/>
        <v>672</v>
      </c>
      <c r="Z211" s="78"/>
      <c r="AA211" s="78">
        <f t="shared" si="226"/>
        <v>672</v>
      </c>
      <c r="AB211" s="78"/>
      <c r="AC211" s="78">
        <f t="shared" si="227"/>
        <v>672</v>
      </c>
      <c r="AD211" s="78"/>
      <c r="AE211" s="78">
        <f t="shared" si="228"/>
        <v>672</v>
      </c>
      <c r="AF211" s="78"/>
      <c r="AG211" s="78">
        <f t="shared" si="229"/>
        <v>672</v>
      </c>
      <c r="AH211" s="78"/>
      <c r="AI211" s="78">
        <f t="shared" si="230"/>
        <v>672</v>
      </c>
      <c r="AJ211" s="78"/>
      <c r="AK211" s="78">
        <f t="shared" si="231"/>
        <v>672</v>
      </c>
      <c r="AL211" s="78"/>
      <c r="AM211" s="78">
        <f t="shared" si="232"/>
        <v>672</v>
      </c>
    </row>
    <row r="212" spans="1:39" s="23" customFormat="1" ht="21" customHeight="1">
      <c r="A212" s="83"/>
      <c r="B212" s="79"/>
      <c r="C212" s="64">
        <v>4410</v>
      </c>
      <c r="D212" s="37" t="s">
        <v>89</v>
      </c>
      <c r="E212" s="78">
        <v>1000</v>
      </c>
      <c r="F212" s="78"/>
      <c r="G212" s="78">
        <f t="shared" si="216"/>
        <v>1000</v>
      </c>
      <c r="H212" s="78"/>
      <c r="I212" s="78">
        <f t="shared" si="217"/>
        <v>1000</v>
      </c>
      <c r="J212" s="78"/>
      <c r="K212" s="78">
        <f t="shared" si="218"/>
        <v>1000</v>
      </c>
      <c r="L212" s="78"/>
      <c r="M212" s="78">
        <f t="shared" si="219"/>
        <v>1000</v>
      </c>
      <c r="N212" s="78"/>
      <c r="O212" s="78">
        <f t="shared" si="220"/>
        <v>1000</v>
      </c>
      <c r="P212" s="78"/>
      <c r="Q212" s="78">
        <f t="shared" si="221"/>
        <v>1000</v>
      </c>
      <c r="R212" s="78"/>
      <c r="S212" s="78">
        <f t="shared" si="222"/>
        <v>1000</v>
      </c>
      <c r="T212" s="78"/>
      <c r="U212" s="78">
        <f t="shared" si="223"/>
        <v>1000</v>
      </c>
      <c r="V212" s="78"/>
      <c r="W212" s="78">
        <f t="shared" si="224"/>
        <v>1000</v>
      </c>
      <c r="X212" s="78"/>
      <c r="Y212" s="78">
        <f t="shared" si="225"/>
        <v>1000</v>
      </c>
      <c r="Z212" s="78"/>
      <c r="AA212" s="78">
        <f t="shared" si="226"/>
        <v>1000</v>
      </c>
      <c r="AB212" s="78"/>
      <c r="AC212" s="78">
        <f t="shared" si="227"/>
        <v>1000</v>
      </c>
      <c r="AD212" s="78"/>
      <c r="AE212" s="78">
        <f t="shared" si="228"/>
        <v>1000</v>
      </c>
      <c r="AF212" s="78"/>
      <c r="AG212" s="78">
        <f t="shared" si="229"/>
        <v>1000</v>
      </c>
      <c r="AH212" s="78"/>
      <c r="AI212" s="78">
        <f t="shared" si="230"/>
        <v>1000</v>
      </c>
      <c r="AJ212" s="78"/>
      <c r="AK212" s="78">
        <f t="shared" si="231"/>
        <v>1000</v>
      </c>
      <c r="AL212" s="78"/>
      <c r="AM212" s="78">
        <f t="shared" si="232"/>
        <v>1000</v>
      </c>
    </row>
    <row r="213" spans="1:39" s="23" customFormat="1" ht="21" customHeight="1">
      <c r="A213" s="83"/>
      <c r="B213" s="79"/>
      <c r="C213" s="67">
        <v>4430</v>
      </c>
      <c r="D213" s="37" t="s">
        <v>93</v>
      </c>
      <c r="E213" s="78">
        <v>2500</v>
      </c>
      <c r="F213" s="78"/>
      <c r="G213" s="78">
        <f t="shared" si="216"/>
        <v>2500</v>
      </c>
      <c r="H213" s="78"/>
      <c r="I213" s="78">
        <f t="shared" si="217"/>
        <v>2500</v>
      </c>
      <c r="J213" s="78"/>
      <c r="K213" s="78">
        <f t="shared" si="218"/>
        <v>2500</v>
      </c>
      <c r="L213" s="78"/>
      <c r="M213" s="78">
        <f t="shared" si="219"/>
        <v>2500</v>
      </c>
      <c r="N213" s="78"/>
      <c r="O213" s="78">
        <f t="shared" si="220"/>
        <v>2500</v>
      </c>
      <c r="P213" s="78"/>
      <c r="Q213" s="78">
        <f t="shared" si="221"/>
        <v>2500</v>
      </c>
      <c r="R213" s="78"/>
      <c r="S213" s="78">
        <f t="shared" si="222"/>
        <v>2500</v>
      </c>
      <c r="T213" s="78"/>
      <c r="U213" s="78">
        <f t="shared" si="223"/>
        <v>2500</v>
      </c>
      <c r="V213" s="78"/>
      <c r="W213" s="78">
        <f t="shared" si="224"/>
        <v>2500</v>
      </c>
      <c r="X213" s="78"/>
      <c r="Y213" s="78">
        <f t="shared" si="225"/>
        <v>2500</v>
      </c>
      <c r="Z213" s="78"/>
      <c r="AA213" s="78">
        <f t="shared" si="226"/>
        <v>2500</v>
      </c>
      <c r="AB213" s="78"/>
      <c r="AC213" s="78">
        <f t="shared" si="227"/>
        <v>2500</v>
      </c>
      <c r="AD213" s="78"/>
      <c r="AE213" s="78">
        <f t="shared" si="228"/>
        <v>2500</v>
      </c>
      <c r="AF213" s="78"/>
      <c r="AG213" s="78">
        <f t="shared" si="229"/>
        <v>2500</v>
      </c>
      <c r="AH213" s="78"/>
      <c r="AI213" s="78">
        <f t="shared" si="230"/>
        <v>2500</v>
      </c>
      <c r="AJ213" s="78"/>
      <c r="AK213" s="78">
        <f t="shared" si="231"/>
        <v>2500</v>
      </c>
      <c r="AL213" s="78"/>
      <c r="AM213" s="78">
        <f t="shared" si="232"/>
        <v>2500</v>
      </c>
    </row>
    <row r="214" spans="1:39" s="23" customFormat="1" ht="24">
      <c r="A214" s="83"/>
      <c r="B214" s="79"/>
      <c r="C214" s="67">
        <v>4440</v>
      </c>
      <c r="D214" s="37" t="s">
        <v>87</v>
      </c>
      <c r="E214" s="78">
        <v>5850</v>
      </c>
      <c r="F214" s="78"/>
      <c r="G214" s="78">
        <f t="shared" si="216"/>
        <v>5850</v>
      </c>
      <c r="H214" s="78"/>
      <c r="I214" s="78">
        <f t="shared" si="217"/>
        <v>5850</v>
      </c>
      <c r="J214" s="78"/>
      <c r="K214" s="78">
        <f t="shared" si="218"/>
        <v>5850</v>
      </c>
      <c r="L214" s="78"/>
      <c r="M214" s="78">
        <f t="shared" si="219"/>
        <v>5850</v>
      </c>
      <c r="N214" s="78"/>
      <c r="O214" s="78">
        <f t="shared" si="220"/>
        <v>5850</v>
      </c>
      <c r="P214" s="78"/>
      <c r="Q214" s="78">
        <f t="shared" si="221"/>
        <v>5850</v>
      </c>
      <c r="R214" s="78">
        <v>-610</v>
      </c>
      <c r="S214" s="78">
        <f t="shared" si="222"/>
        <v>5240</v>
      </c>
      <c r="T214" s="78"/>
      <c r="U214" s="78">
        <f t="shared" si="223"/>
        <v>5240</v>
      </c>
      <c r="V214" s="78"/>
      <c r="W214" s="78">
        <f t="shared" si="224"/>
        <v>5240</v>
      </c>
      <c r="X214" s="78"/>
      <c r="Y214" s="78">
        <f t="shared" si="225"/>
        <v>5240</v>
      </c>
      <c r="Z214" s="78"/>
      <c r="AA214" s="78">
        <f t="shared" si="226"/>
        <v>5240</v>
      </c>
      <c r="AB214" s="78"/>
      <c r="AC214" s="78">
        <f t="shared" si="227"/>
        <v>5240</v>
      </c>
      <c r="AD214" s="78"/>
      <c r="AE214" s="78">
        <f t="shared" si="228"/>
        <v>5240</v>
      </c>
      <c r="AF214" s="78"/>
      <c r="AG214" s="78">
        <f t="shared" si="229"/>
        <v>5240</v>
      </c>
      <c r="AH214" s="78"/>
      <c r="AI214" s="78">
        <f t="shared" si="230"/>
        <v>5240</v>
      </c>
      <c r="AJ214" s="78"/>
      <c r="AK214" s="78">
        <f t="shared" si="231"/>
        <v>5240</v>
      </c>
      <c r="AL214" s="78"/>
      <c r="AM214" s="78">
        <f t="shared" si="232"/>
        <v>5240</v>
      </c>
    </row>
    <row r="215" spans="1:39" s="23" customFormat="1" ht="21" customHeight="1">
      <c r="A215" s="83"/>
      <c r="B215" s="79"/>
      <c r="C215" s="67">
        <v>4510</v>
      </c>
      <c r="D215" s="37" t="s">
        <v>144</v>
      </c>
      <c r="E215" s="78">
        <v>100</v>
      </c>
      <c r="F215" s="78"/>
      <c r="G215" s="78">
        <f t="shared" si="216"/>
        <v>100</v>
      </c>
      <c r="H215" s="78"/>
      <c r="I215" s="78">
        <f t="shared" si="217"/>
        <v>100</v>
      </c>
      <c r="J215" s="78"/>
      <c r="K215" s="78">
        <f t="shared" si="218"/>
        <v>100</v>
      </c>
      <c r="L215" s="78"/>
      <c r="M215" s="78">
        <f t="shared" si="219"/>
        <v>100</v>
      </c>
      <c r="N215" s="78"/>
      <c r="O215" s="78">
        <f t="shared" si="220"/>
        <v>100</v>
      </c>
      <c r="P215" s="78"/>
      <c r="Q215" s="78">
        <f t="shared" si="221"/>
        <v>100</v>
      </c>
      <c r="R215" s="78"/>
      <c r="S215" s="78">
        <f t="shared" si="222"/>
        <v>100</v>
      </c>
      <c r="T215" s="78"/>
      <c r="U215" s="78">
        <f t="shared" si="223"/>
        <v>100</v>
      </c>
      <c r="V215" s="78"/>
      <c r="W215" s="78">
        <f t="shared" si="224"/>
        <v>100</v>
      </c>
      <c r="X215" s="78"/>
      <c r="Y215" s="78">
        <f t="shared" si="225"/>
        <v>100</v>
      </c>
      <c r="Z215" s="78"/>
      <c r="AA215" s="78">
        <f t="shared" si="226"/>
        <v>100</v>
      </c>
      <c r="AB215" s="78"/>
      <c r="AC215" s="78">
        <f t="shared" si="227"/>
        <v>100</v>
      </c>
      <c r="AD215" s="78"/>
      <c r="AE215" s="78">
        <f t="shared" si="228"/>
        <v>100</v>
      </c>
      <c r="AF215" s="78"/>
      <c r="AG215" s="78">
        <f t="shared" si="229"/>
        <v>100</v>
      </c>
      <c r="AH215" s="78"/>
      <c r="AI215" s="78">
        <f t="shared" si="230"/>
        <v>100</v>
      </c>
      <c r="AJ215" s="78"/>
      <c r="AK215" s="78">
        <f t="shared" si="231"/>
        <v>100</v>
      </c>
      <c r="AL215" s="78"/>
      <c r="AM215" s="78">
        <f t="shared" si="232"/>
        <v>100</v>
      </c>
    </row>
    <row r="216" spans="1:39" s="23" customFormat="1" ht="28.5" customHeight="1">
      <c r="A216" s="83"/>
      <c r="B216" s="79"/>
      <c r="C216" s="67">
        <v>4700</v>
      </c>
      <c r="D216" s="37" t="s">
        <v>234</v>
      </c>
      <c r="E216" s="78">
        <v>5100</v>
      </c>
      <c r="F216" s="78"/>
      <c r="G216" s="78">
        <f t="shared" si="216"/>
        <v>5100</v>
      </c>
      <c r="H216" s="78"/>
      <c r="I216" s="78">
        <f t="shared" si="217"/>
        <v>5100</v>
      </c>
      <c r="J216" s="78"/>
      <c r="K216" s="78">
        <f t="shared" si="218"/>
        <v>5100</v>
      </c>
      <c r="L216" s="78"/>
      <c r="M216" s="78">
        <f t="shared" si="219"/>
        <v>5100</v>
      </c>
      <c r="N216" s="78"/>
      <c r="O216" s="78">
        <f t="shared" si="220"/>
        <v>5100</v>
      </c>
      <c r="P216" s="78"/>
      <c r="Q216" s="78">
        <f t="shared" si="221"/>
        <v>5100</v>
      </c>
      <c r="R216" s="78"/>
      <c r="S216" s="78">
        <f t="shared" si="222"/>
        <v>5100</v>
      </c>
      <c r="T216" s="78"/>
      <c r="U216" s="78">
        <f t="shared" si="223"/>
        <v>5100</v>
      </c>
      <c r="V216" s="78"/>
      <c r="W216" s="78">
        <f t="shared" si="224"/>
        <v>5100</v>
      </c>
      <c r="X216" s="78"/>
      <c r="Y216" s="78">
        <f t="shared" si="225"/>
        <v>5100</v>
      </c>
      <c r="Z216" s="78"/>
      <c r="AA216" s="78">
        <f t="shared" si="226"/>
        <v>5100</v>
      </c>
      <c r="AB216" s="78"/>
      <c r="AC216" s="78">
        <f t="shared" si="227"/>
        <v>5100</v>
      </c>
      <c r="AD216" s="78"/>
      <c r="AE216" s="78">
        <f t="shared" si="228"/>
        <v>5100</v>
      </c>
      <c r="AF216" s="78"/>
      <c r="AG216" s="78">
        <f t="shared" si="229"/>
        <v>5100</v>
      </c>
      <c r="AH216" s="78">
        <v>-2500</v>
      </c>
      <c r="AI216" s="78">
        <f t="shared" si="230"/>
        <v>2600</v>
      </c>
      <c r="AJ216" s="78">
        <v>-1790</v>
      </c>
      <c r="AK216" s="78">
        <f t="shared" si="231"/>
        <v>810</v>
      </c>
      <c r="AL216" s="78">
        <v>380</v>
      </c>
      <c r="AM216" s="78">
        <f t="shared" si="232"/>
        <v>1190</v>
      </c>
    </row>
    <row r="217" spans="1:39" s="23" customFormat="1" ht="28.5" customHeight="1">
      <c r="A217" s="83"/>
      <c r="B217" s="79"/>
      <c r="C217" s="67">
        <v>4750</v>
      </c>
      <c r="D217" s="37" t="s">
        <v>222</v>
      </c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>
        <v>0</v>
      </c>
      <c r="AD217" s="78">
        <v>100</v>
      </c>
      <c r="AE217" s="78">
        <f t="shared" si="228"/>
        <v>100</v>
      </c>
      <c r="AF217" s="78"/>
      <c r="AG217" s="78">
        <f t="shared" si="229"/>
        <v>100</v>
      </c>
      <c r="AH217" s="78"/>
      <c r="AI217" s="78">
        <f t="shared" si="230"/>
        <v>100</v>
      </c>
      <c r="AJ217" s="78"/>
      <c r="AK217" s="78">
        <f t="shared" si="231"/>
        <v>100</v>
      </c>
      <c r="AL217" s="78"/>
      <c r="AM217" s="78">
        <f t="shared" si="232"/>
        <v>100</v>
      </c>
    </row>
    <row r="218" spans="1:39" s="23" customFormat="1" ht="28.5" customHeight="1">
      <c r="A218" s="83"/>
      <c r="B218" s="79">
        <v>75421</v>
      </c>
      <c r="C218" s="67"/>
      <c r="D218" s="37" t="s">
        <v>342</v>
      </c>
      <c r="E218" s="78"/>
      <c r="F218" s="78"/>
      <c r="G218" s="78"/>
      <c r="H218" s="78"/>
      <c r="I218" s="78"/>
      <c r="J218" s="78"/>
      <c r="K218" s="78">
        <f aca="true" t="shared" si="233" ref="K218:W218">SUM(K219:K220)</f>
        <v>0</v>
      </c>
      <c r="L218" s="78">
        <f t="shared" si="233"/>
        <v>6000</v>
      </c>
      <c r="M218" s="78">
        <f t="shared" si="233"/>
        <v>6000</v>
      </c>
      <c r="N218" s="78">
        <f t="shared" si="233"/>
        <v>0</v>
      </c>
      <c r="O218" s="78">
        <f t="shared" si="233"/>
        <v>6000</v>
      </c>
      <c r="P218" s="78">
        <f t="shared" si="233"/>
        <v>0</v>
      </c>
      <c r="Q218" s="78">
        <f t="shared" si="233"/>
        <v>6000</v>
      </c>
      <c r="R218" s="78">
        <f t="shared" si="233"/>
        <v>0</v>
      </c>
      <c r="S218" s="78">
        <f t="shared" si="233"/>
        <v>6000</v>
      </c>
      <c r="T218" s="78">
        <f t="shared" si="233"/>
        <v>0</v>
      </c>
      <c r="U218" s="78">
        <f t="shared" si="233"/>
        <v>6000</v>
      </c>
      <c r="V218" s="78">
        <f t="shared" si="233"/>
        <v>0</v>
      </c>
      <c r="W218" s="78">
        <f t="shared" si="233"/>
        <v>6000</v>
      </c>
      <c r="X218" s="78">
        <f aca="true" t="shared" si="234" ref="X218:AC218">SUM(X219:X220)</f>
        <v>0</v>
      </c>
      <c r="Y218" s="78">
        <f t="shared" si="234"/>
        <v>6000</v>
      </c>
      <c r="Z218" s="78">
        <f t="shared" si="234"/>
        <v>0</v>
      </c>
      <c r="AA218" s="78">
        <f t="shared" si="234"/>
        <v>6000</v>
      </c>
      <c r="AB218" s="78">
        <f t="shared" si="234"/>
        <v>0</v>
      </c>
      <c r="AC218" s="78">
        <f t="shared" si="234"/>
        <v>6000</v>
      </c>
      <c r="AD218" s="78">
        <f aca="true" t="shared" si="235" ref="AD218:AI218">SUM(AD219:AD220)</f>
        <v>0</v>
      </c>
      <c r="AE218" s="78">
        <f t="shared" si="235"/>
        <v>6000</v>
      </c>
      <c r="AF218" s="78">
        <f t="shared" si="235"/>
        <v>0</v>
      </c>
      <c r="AG218" s="78">
        <f t="shared" si="235"/>
        <v>6000</v>
      </c>
      <c r="AH218" s="78">
        <f t="shared" si="235"/>
        <v>0</v>
      </c>
      <c r="AI218" s="78">
        <f t="shared" si="235"/>
        <v>6000</v>
      </c>
      <c r="AJ218" s="78">
        <f>SUM(AJ219:AJ220)</f>
        <v>-1000</v>
      </c>
      <c r="AK218" s="78">
        <f>SUM(AK219:AK220)</f>
        <v>5000</v>
      </c>
      <c r="AL218" s="78">
        <f>SUM(AL219:AL220)</f>
        <v>4000</v>
      </c>
      <c r="AM218" s="78">
        <f>SUM(AM219:AM220)</f>
        <v>9000</v>
      </c>
    </row>
    <row r="219" spans="1:39" s="23" customFormat="1" ht="21" customHeight="1">
      <c r="A219" s="83"/>
      <c r="B219" s="79"/>
      <c r="C219" s="67">
        <v>4210</v>
      </c>
      <c r="D219" s="37" t="s">
        <v>91</v>
      </c>
      <c r="E219" s="78"/>
      <c r="F219" s="78"/>
      <c r="G219" s="78"/>
      <c r="H219" s="78"/>
      <c r="I219" s="78"/>
      <c r="J219" s="78"/>
      <c r="K219" s="78">
        <v>0</v>
      </c>
      <c r="L219" s="78">
        <v>2000</v>
      </c>
      <c r="M219" s="78">
        <f>SUM(K219:L219)</f>
        <v>2000</v>
      </c>
      <c r="N219" s="78"/>
      <c r="O219" s="78">
        <f>SUM(M219:N219)</f>
        <v>2000</v>
      </c>
      <c r="P219" s="78"/>
      <c r="Q219" s="78">
        <f>SUM(O219:P219)</f>
        <v>2000</v>
      </c>
      <c r="R219" s="78"/>
      <c r="S219" s="78">
        <f>SUM(Q219:R219)</f>
        <v>2000</v>
      </c>
      <c r="T219" s="78"/>
      <c r="U219" s="78">
        <f>SUM(S219:T219)</f>
        <v>2000</v>
      </c>
      <c r="V219" s="78"/>
      <c r="W219" s="78">
        <f>SUM(U219:V219)</f>
        <v>2000</v>
      </c>
      <c r="X219" s="78"/>
      <c r="Y219" s="78">
        <f>SUM(W219:X219)</f>
        <v>2000</v>
      </c>
      <c r="Z219" s="78"/>
      <c r="AA219" s="78">
        <f>SUM(Y219:Z219)</f>
        <v>2000</v>
      </c>
      <c r="AB219" s="78"/>
      <c r="AC219" s="78">
        <f>SUM(AA219:AB219)</f>
        <v>2000</v>
      </c>
      <c r="AD219" s="78"/>
      <c r="AE219" s="78">
        <f>SUM(AC219:AD219)</f>
        <v>2000</v>
      </c>
      <c r="AF219" s="78"/>
      <c r="AG219" s="78">
        <f>SUM(AE219:AF219)</f>
        <v>2000</v>
      </c>
      <c r="AH219" s="78"/>
      <c r="AI219" s="78">
        <f>SUM(AG219:AH219)</f>
        <v>2000</v>
      </c>
      <c r="AJ219" s="78">
        <v>-1000</v>
      </c>
      <c r="AK219" s="78">
        <f>SUM(AI219:AJ219)</f>
        <v>1000</v>
      </c>
      <c r="AL219" s="78"/>
      <c r="AM219" s="78">
        <f>SUM(AK219:AL219)</f>
        <v>1000</v>
      </c>
    </row>
    <row r="220" spans="1:39" s="23" customFormat="1" ht="18" customHeight="1">
      <c r="A220" s="83"/>
      <c r="B220" s="79"/>
      <c r="C220" s="67">
        <v>4300</v>
      </c>
      <c r="D220" s="37" t="s">
        <v>78</v>
      </c>
      <c r="E220" s="78"/>
      <c r="F220" s="78"/>
      <c r="G220" s="78"/>
      <c r="H220" s="78"/>
      <c r="I220" s="78"/>
      <c r="J220" s="78"/>
      <c r="K220" s="78">
        <v>0</v>
      </c>
      <c r="L220" s="78">
        <v>4000</v>
      </c>
      <c r="M220" s="78">
        <f>SUM(K220:L220)</f>
        <v>4000</v>
      </c>
      <c r="N220" s="78"/>
      <c r="O220" s="78">
        <f>SUM(M220:N220)</f>
        <v>4000</v>
      </c>
      <c r="P220" s="78"/>
      <c r="Q220" s="78">
        <f>SUM(O220:P220)</f>
        <v>4000</v>
      </c>
      <c r="R220" s="78"/>
      <c r="S220" s="78">
        <f>SUM(Q220:R220)</f>
        <v>4000</v>
      </c>
      <c r="T220" s="78"/>
      <c r="U220" s="78">
        <f>SUM(S220:T220)</f>
        <v>4000</v>
      </c>
      <c r="V220" s="78"/>
      <c r="W220" s="78">
        <f>SUM(U220:V220)</f>
        <v>4000</v>
      </c>
      <c r="X220" s="78"/>
      <c r="Y220" s="78">
        <f>SUM(W220:X220)</f>
        <v>4000</v>
      </c>
      <c r="Z220" s="78"/>
      <c r="AA220" s="78">
        <f>SUM(Y220:Z220)</f>
        <v>4000</v>
      </c>
      <c r="AB220" s="78"/>
      <c r="AC220" s="78">
        <f>SUM(AA220:AB220)</f>
        <v>4000</v>
      </c>
      <c r="AD220" s="78"/>
      <c r="AE220" s="78">
        <f>SUM(AC220:AD220)</f>
        <v>4000</v>
      </c>
      <c r="AF220" s="78"/>
      <c r="AG220" s="78">
        <f>SUM(AE220:AF220)</f>
        <v>4000</v>
      </c>
      <c r="AH220" s="78"/>
      <c r="AI220" s="78">
        <f>SUM(AG220:AH220)</f>
        <v>4000</v>
      </c>
      <c r="AJ220" s="78"/>
      <c r="AK220" s="78">
        <f>SUM(AI220:AJ220)</f>
        <v>4000</v>
      </c>
      <c r="AL220" s="78">
        <v>4000</v>
      </c>
      <c r="AM220" s="78">
        <f>SUM(AK220:AL220)</f>
        <v>8000</v>
      </c>
    </row>
    <row r="221" spans="1:39" s="23" customFormat="1" ht="21" customHeight="1">
      <c r="A221" s="83"/>
      <c r="B221" s="79" t="s">
        <v>100</v>
      </c>
      <c r="C221" s="83"/>
      <c r="D221" s="37" t="s">
        <v>6</v>
      </c>
      <c r="E221" s="78">
        <f aca="true" t="shared" si="236" ref="E221:W221">SUM(E222:E225)</f>
        <v>9000</v>
      </c>
      <c r="F221" s="78">
        <f t="shared" si="236"/>
        <v>70000</v>
      </c>
      <c r="G221" s="78">
        <f t="shared" si="236"/>
        <v>79000</v>
      </c>
      <c r="H221" s="78">
        <f t="shared" si="236"/>
        <v>0</v>
      </c>
      <c r="I221" s="78">
        <f t="shared" si="236"/>
        <v>79000</v>
      </c>
      <c r="J221" s="78">
        <f t="shared" si="236"/>
        <v>0</v>
      </c>
      <c r="K221" s="78">
        <f t="shared" si="236"/>
        <v>79000</v>
      </c>
      <c r="L221" s="78">
        <f t="shared" si="236"/>
        <v>0</v>
      </c>
      <c r="M221" s="78">
        <f t="shared" si="236"/>
        <v>79000</v>
      </c>
      <c r="N221" s="78">
        <f t="shared" si="236"/>
        <v>0</v>
      </c>
      <c r="O221" s="78">
        <f t="shared" si="236"/>
        <v>79000</v>
      </c>
      <c r="P221" s="78">
        <f t="shared" si="236"/>
        <v>0</v>
      </c>
      <c r="Q221" s="78">
        <f t="shared" si="236"/>
        <v>79000</v>
      </c>
      <c r="R221" s="78">
        <f t="shared" si="236"/>
        <v>-70000</v>
      </c>
      <c r="S221" s="78">
        <f t="shared" si="236"/>
        <v>9000</v>
      </c>
      <c r="T221" s="78">
        <f t="shared" si="236"/>
        <v>0</v>
      </c>
      <c r="U221" s="78">
        <f t="shared" si="236"/>
        <v>9000</v>
      </c>
      <c r="V221" s="78">
        <f t="shared" si="236"/>
        <v>0</v>
      </c>
      <c r="W221" s="78">
        <f t="shared" si="236"/>
        <v>9000</v>
      </c>
      <c r="X221" s="78">
        <f aca="true" t="shared" si="237" ref="X221:AC221">SUM(X222:X225)</f>
        <v>0</v>
      </c>
      <c r="Y221" s="78">
        <f t="shared" si="237"/>
        <v>9000</v>
      </c>
      <c r="Z221" s="78">
        <f t="shared" si="237"/>
        <v>0</v>
      </c>
      <c r="AA221" s="78">
        <f t="shared" si="237"/>
        <v>9000</v>
      </c>
      <c r="AB221" s="78">
        <f t="shared" si="237"/>
        <v>0</v>
      </c>
      <c r="AC221" s="78">
        <f t="shared" si="237"/>
        <v>9000</v>
      </c>
      <c r="AD221" s="78">
        <f aca="true" t="shared" si="238" ref="AD221:AI221">SUM(AD222:AD225)</f>
        <v>0</v>
      </c>
      <c r="AE221" s="78">
        <f t="shared" si="238"/>
        <v>9000</v>
      </c>
      <c r="AF221" s="78">
        <f t="shared" si="238"/>
        <v>0</v>
      </c>
      <c r="AG221" s="78">
        <f t="shared" si="238"/>
        <v>9000</v>
      </c>
      <c r="AH221" s="78">
        <f t="shared" si="238"/>
        <v>0</v>
      </c>
      <c r="AI221" s="78">
        <f t="shared" si="238"/>
        <v>9000</v>
      </c>
      <c r="AJ221" s="78">
        <f>SUM(AJ222:AJ225)</f>
        <v>-116</v>
      </c>
      <c r="AK221" s="78">
        <f>SUM(AK222:AK225)</f>
        <v>8884</v>
      </c>
      <c r="AL221" s="78">
        <f>SUM(AL222:AL225)</f>
        <v>0</v>
      </c>
      <c r="AM221" s="78">
        <f>SUM(AM222:AM225)</f>
        <v>8884</v>
      </c>
    </row>
    <row r="222" spans="1:39" s="23" customFormat="1" ht="21" customHeight="1">
      <c r="A222" s="83"/>
      <c r="B222" s="79"/>
      <c r="C222" s="83">
        <v>4210</v>
      </c>
      <c r="D222" s="37" t="s">
        <v>91</v>
      </c>
      <c r="E222" s="78">
        <v>3900</v>
      </c>
      <c r="F222" s="78"/>
      <c r="G222" s="78">
        <f>SUM(E222:F222)</f>
        <v>3900</v>
      </c>
      <c r="H222" s="78"/>
      <c r="I222" s="78">
        <f>SUM(G222:H222)</f>
        <v>3900</v>
      </c>
      <c r="J222" s="78"/>
      <c r="K222" s="78">
        <f>SUM(I222:J222)</f>
        <v>3900</v>
      </c>
      <c r="L222" s="78"/>
      <c r="M222" s="78">
        <f>SUM(K222:L222)</f>
        <v>3900</v>
      </c>
      <c r="N222" s="78"/>
      <c r="O222" s="78">
        <f>SUM(M222:N222)</f>
        <v>3900</v>
      </c>
      <c r="P222" s="78"/>
      <c r="Q222" s="78">
        <f>SUM(O222:P222)</f>
        <v>3900</v>
      </c>
      <c r="R222" s="78"/>
      <c r="S222" s="78">
        <f>SUM(Q222:R222)</f>
        <v>3900</v>
      </c>
      <c r="T222" s="78"/>
      <c r="U222" s="78">
        <f>SUM(S222:T222)</f>
        <v>3900</v>
      </c>
      <c r="V222" s="78"/>
      <c r="W222" s="78">
        <f>SUM(U222:V222)</f>
        <v>3900</v>
      </c>
      <c r="X222" s="78"/>
      <c r="Y222" s="78">
        <f>SUM(W222:X222)</f>
        <v>3900</v>
      </c>
      <c r="Z222" s="78"/>
      <c r="AA222" s="78">
        <f>SUM(Y222:Z222)</f>
        <v>3900</v>
      </c>
      <c r="AB222" s="78"/>
      <c r="AC222" s="78">
        <f>SUM(AA222:AB222)</f>
        <v>3900</v>
      </c>
      <c r="AD222" s="78"/>
      <c r="AE222" s="78">
        <f>SUM(AC222:AD222)</f>
        <v>3900</v>
      </c>
      <c r="AF222" s="78"/>
      <c r="AG222" s="78">
        <f>SUM(AE222:AF222)</f>
        <v>3900</v>
      </c>
      <c r="AH222" s="78"/>
      <c r="AI222" s="78">
        <f>SUM(AG222:AH222)</f>
        <v>3900</v>
      </c>
      <c r="AJ222" s="78">
        <v>-65</v>
      </c>
      <c r="AK222" s="78">
        <f>SUM(AI222:AJ222)</f>
        <v>3835</v>
      </c>
      <c r="AL222" s="78"/>
      <c r="AM222" s="78">
        <f>SUM(AK222:AL222)</f>
        <v>3835</v>
      </c>
    </row>
    <row r="223" spans="1:39" s="23" customFormat="1" ht="21" customHeight="1">
      <c r="A223" s="83"/>
      <c r="B223" s="79"/>
      <c r="C223" s="67">
        <v>4430</v>
      </c>
      <c r="D223" s="37" t="s">
        <v>93</v>
      </c>
      <c r="E223" s="78">
        <v>5000</v>
      </c>
      <c r="F223" s="78"/>
      <c r="G223" s="78">
        <f>SUM(E223:F223)</f>
        <v>5000</v>
      </c>
      <c r="H223" s="78"/>
      <c r="I223" s="78">
        <f>SUM(G223:H223)</f>
        <v>5000</v>
      </c>
      <c r="J223" s="78"/>
      <c r="K223" s="78">
        <f>SUM(I223:J223)</f>
        <v>5000</v>
      </c>
      <c r="L223" s="78"/>
      <c r="M223" s="78">
        <f>SUM(K223:L223)</f>
        <v>5000</v>
      </c>
      <c r="N223" s="78"/>
      <c r="O223" s="78">
        <f>SUM(M223:N223)</f>
        <v>5000</v>
      </c>
      <c r="P223" s="78"/>
      <c r="Q223" s="78">
        <f>SUM(O223:P223)</f>
        <v>5000</v>
      </c>
      <c r="R223" s="78"/>
      <c r="S223" s="78">
        <f>SUM(Q223:R223)</f>
        <v>5000</v>
      </c>
      <c r="T223" s="78"/>
      <c r="U223" s="78">
        <f>SUM(S223:T223)</f>
        <v>5000</v>
      </c>
      <c r="V223" s="78"/>
      <c r="W223" s="78">
        <f>SUM(U223:V223)</f>
        <v>5000</v>
      </c>
      <c r="X223" s="78"/>
      <c r="Y223" s="78">
        <f>SUM(W223:X223)</f>
        <v>5000</v>
      </c>
      <c r="Z223" s="78"/>
      <c r="AA223" s="78">
        <f>SUM(Y223:Z223)</f>
        <v>5000</v>
      </c>
      <c r="AB223" s="78"/>
      <c r="AC223" s="78">
        <f>SUM(AA223:AB223)</f>
        <v>5000</v>
      </c>
      <c r="AD223" s="78"/>
      <c r="AE223" s="78">
        <f>SUM(AC223:AD223)</f>
        <v>5000</v>
      </c>
      <c r="AF223" s="78"/>
      <c r="AG223" s="78">
        <f>SUM(AE223:AF223)</f>
        <v>5000</v>
      </c>
      <c r="AH223" s="78"/>
      <c r="AI223" s="78">
        <f>SUM(AG223:AH223)</f>
        <v>5000</v>
      </c>
      <c r="AJ223" s="78"/>
      <c r="AK223" s="78">
        <f>SUM(AI223:AJ223)</f>
        <v>5000</v>
      </c>
      <c r="AL223" s="78"/>
      <c r="AM223" s="78">
        <f>SUM(AK223:AL223)</f>
        <v>5000</v>
      </c>
    </row>
    <row r="224" spans="1:39" s="23" customFormat="1" ht="24">
      <c r="A224" s="83"/>
      <c r="B224" s="79"/>
      <c r="C224" s="67">
        <v>4740</v>
      </c>
      <c r="D224" s="37" t="s">
        <v>221</v>
      </c>
      <c r="E224" s="78">
        <v>100</v>
      </c>
      <c r="F224" s="78"/>
      <c r="G224" s="78">
        <f>SUM(E224:F224)</f>
        <v>100</v>
      </c>
      <c r="H224" s="78"/>
      <c r="I224" s="78">
        <f>SUM(G224:H224)</f>
        <v>100</v>
      </c>
      <c r="J224" s="78"/>
      <c r="K224" s="78">
        <f>SUM(I224:J224)</f>
        <v>100</v>
      </c>
      <c r="L224" s="78"/>
      <c r="M224" s="78">
        <f>SUM(K224:L224)</f>
        <v>100</v>
      </c>
      <c r="N224" s="78"/>
      <c r="O224" s="78">
        <f>SUM(M224:N224)</f>
        <v>100</v>
      </c>
      <c r="P224" s="78"/>
      <c r="Q224" s="78">
        <f>SUM(O224:P224)</f>
        <v>100</v>
      </c>
      <c r="R224" s="78"/>
      <c r="S224" s="78">
        <f>SUM(Q224:R224)</f>
        <v>100</v>
      </c>
      <c r="T224" s="78"/>
      <c r="U224" s="78">
        <f>SUM(S224:T224)</f>
        <v>100</v>
      </c>
      <c r="V224" s="78"/>
      <c r="W224" s="78">
        <f>SUM(U224:V224)</f>
        <v>100</v>
      </c>
      <c r="X224" s="78"/>
      <c r="Y224" s="78">
        <f>SUM(W224:X224)</f>
        <v>100</v>
      </c>
      <c r="Z224" s="78"/>
      <c r="AA224" s="78">
        <f>SUM(Y224:Z224)</f>
        <v>100</v>
      </c>
      <c r="AB224" s="78"/>
      <c r="AC224" s="78">
        <f>SUM(AA224:AB224)</f>
        <v>100</v>
      </c>
      <c r="AD224" s="78"/>
      <c r="AE224" s="78">
        <f>SUM(AC224:AD224)</f>
        <v>100</v>
      </c>
      <c r="AF224" s="78"/>
      <c r="AG224" s="78">
        <f>SUM(AE224:AF224)</f>
        <v>100</v>
      </c>
      <c r="AH224" s="78"/>
      <c r="AI224" s="78">
        <f>SUM(AG224:AH224)</f>
        <v>100</v>
      </c>
      <c r="AJ224" s="78">
        <v>-51</v>
      </c>
      <c r="AK224" s="78">
        <f>SUM(AI224:AJ224)</f>
        <v>49</v>
      </c>
      <c r="AL224" s="78"/>
      <c r="AM224" s="78">
        <f>SUM(AK224:AL224)</f>
        <v>49</v>
      </c>
    </row>
    <row r="225" spans="1:39" s="23" customFormat="1" ht="24">
      <c r="A225" s="83"/>
      <c r="B225" s="79"/>
      <c r="C225" s="67">
        <v>6050</v>
      </c>
      <c r="D225" s="12" t="s">
        <v>72</v>
      </c>
      <c r="E225" s="78">
        <v>0</v>
      </c>
      <c r="F225" s="78">
        <f>70000</f>
        <v>70000</v>
      </c>
      <c r="G225" s="78">
        <f>SUM(E225:F225)</f>
        <v>70000</v>
      </c>
      <c r="H225" s="78"/>
      <c r="I225" s="78">
        <f>SUM(G225:H225)</f>
        <v>70000</v>
      </c>
      <c r="J225" s="78"/>
      <c r="K225" s="78">
        <f>SUM(I225:J225)</f>
        <v>70000</v>
      </c>
      <c r="L225" s="78"/>
      <c r="M225" s="78">
        <f>SUM(K225:L225)</f>
        <v>70000</v>
      </c>
      <c r="N225" s="78"/>
      <c r="O225" s="78">
        <f>SUM(M225:N225)</f>
        <v>70000</v>
      </c>
      <c r="P225" s="78"/>
      <c r="Q225" s="78">
        <f>SUM(O225:P225)</f>
        <v>70000</v>
      </c>
      <c r="R225" s="78">
        <v>-70000</v>
      </c>
      <c r="S225" s="78">
        <f>SUM(Q225:R225)</f>
        <v>0</v>
      </c>
      <c r="T225" s="78"/>
      <c r="U225" s="78">
        <f>SUM(S225:T225)</f>
        <v>0</v>
      </c>
      <c r="V225" s="78"/>
      <c r="W225" s="78">
        <f>SUM(U225:V225)</f>
        <v>0</v>
      </c>
      <c r="X225" s="78"/>
      <c r="Y225" s="78">
        <f>SUM(W225:X225)</f>
        <v>0</v>
      </c>
      <c r="Z225" s="78"/>
      <c r="AA225" s="78">
        <f>SUM(Y225:Z225)</f>
        <v>0</v>
      </c>
      <c r="AB225" s="78"/>
      <c r="AC225" s="78">
        <f>SUM(AA225:AB225)</f>
        <v>0</v>
      </c>
      <c r="AD225" s="78"/>
      <c r="AE225" s="78">
        <f>SUM(AC225:AD225)</f>
        <v>0</v>
      </c>
      <c r="AF225" s="78"/>
      <c r="AG225" s="78">
        <f>SUM(AE225:AF225)</f>
        <v>0</v>
      </c>
      <c r="AH225" s="78"/>
      <c r="AI225" s="78">
        <f>SUM(AG225:AH225)</f>
        <v>0</v>
      </c>
      <c r="AJ225" s="78"/>
      <c r="AK225" s="78">
        <f>SUM(AI225:AJ225)</f>
        <v>0</v>
      </c>
      <c r="AL225" s="78"/>
      <c r="AM225" s="78">
        <f>SUM(AK225:AL225)</f>
        <v>0</v>
      </c>
    </row>
    <row r="226" spans="1:39" s="39" customFormat="1" ht="60">
      <c r="A226" s="34">
        <v>756</v>
      </c>
      <c r="B226" s="59"/>
      <c r="C226" s="58"/>
      <c r="D226" s="35" t="s">
        <v>151</v>
      </c>
      <c r="E226" s="36">
        <f aca="true" t="shared" si="239" ref="E226:AM226">SUM(E227)</f>
        <v>102000</v>
      </c>
      <c r="F226" s="36">
        <f t="shared" si="239"/>
        <v>0</v>
      </c>
      <c r="G226" s="36">
        <f t="shared" si="239"/>
        <v>102000</v>
      </c>
      <c r="H226" s="36">
        <f t="shared" si="239"/>
        <v>0</v>
      </c>
      <c r="I226" s="36">
        <f t="shared" si="239"/>
        <v>102000</v>
      </c>
      <c r="J226" s="36">
        <f t="shared" si="239"/>
        <v>0</v>
      </c>
      <c r="K226" s="36">
        <f t="shared" si="239"/>
        <v>102000</v>
      </c>
      <c r="L226" s="36">
        <f t="shared" si="239"/>
        <v>0</v>
      </c>
      <c r="M226" s="36">
        <f t="shared" si="239"/>
        <v>102000</v>
      </c>
      <c r="N226" s="36">
        <f t="shared" si="239"/>
        <v>0</v>
      </c>
      <c r="O226" s="36">
        <f t="shared" si="239"/>
        <v>102000</v>
      </c>
      <c r="P226" s="36">
        <f t="shared" si="239"/>
        <v>0</v>
      </c>
      <c r="Q226" s="36">
        <f t="shared" si="239"/>
        <v>102000</v>
      </c>
      <c r="R226" s="36">
        <f t="shared" si="239"/>
        <v>0</v>
      </c>
      <c r="S226" s="36">
        <f t="shared" si="239"/>
        <v>102000</v>
      </c>
      <c r="T226" s="36">
        <f t="shared" si="239"/>
        <v>0</v>
      </c>
      <c r="U226" s="36">
        <f t="shared" si="239"/>
        <v>102000</v>
      </c>
      <c r="V226" s="36">
        <f t="shared" si="239"/>
        <v>0</v>
      </c>
      <c r="W226" s="36">
        <f t="shared" si="239"/>
        <v>102000</v>
      </c>
      <c r="X226" s="36">
        <f t="shared" si="239"/>
        <v>0</v>
      </c>
      <c r="Y226" s="36">
        <f t="shared" si="239"/>
        <v>102000</v>
      </c>
      <c r="Z226" s="36">
        <f t="shared" si="239"/>
        <v>0</v>
      </c>
      <c r="AA226" s="36">
        <f t="shared" si="239"/>
        <v>102000</v>
      </c>
      <c r="AB226" s="36">
        <f t="shared" si="239"/>
        <v>0</v>
      </c>
      <c r="AC226" s="36">
        <f t="shared" si="239"/>
        <v>102000</v>
      </c>
      <c r="AD226" s="36">
        <f t="shared" si="239"/>
        <v>0</v>
      </c>
      <c r="AE226" s="36">
        <f t="shared" si="239"/>
        <v>102000</v>
      </c>
      <c r="AF226" s="36">
        <f t="shared" si="239"/>
        <v>0</v>
      </c>
      <c r="AG226" s="36">
        <f t="shared" si="239"/>
        <v>102000</v>
      </c>
      <c r="AH226" s="36">
        <f t="shared" si="239"/>
        <v>0</v>
      </c>
      <c r="AI226" s="36">
        <f t="shared" si="239"/>
        <v>102000</v>
      </c>
      <c r="AJ226" s="36">
        <f t="shared" si="239"/>
        <v>-5000</v>
      </c>
      <c r="AK226" s="36">
        <f t="shared" si="239"/>
        <v>97000</v>
      </c>
      <c r="AL226" s="36">
        <f t="shared" si="239"/>
        <v>0</v>
      </c>
      <c r="AM226" s="36">
        <f t="shared" si="239"/>
        <v>97000</v>
      </c>
    </row>
    <row r="227" spans="1:39" s="23" customFormat="1" ht="31.5" customHeight="1">
      <c r="A227" s="83"/>
      <c r="B227" s="79">
        <v>75647</v>
      </c>
      <c r="C227" s="67"/>
      <c r="D227" s="37" t="s">
        <v>179</v>
      </c>
      <c r="E227" s="78">
        <f aca="true" t="shared" si="240" ref="E227:W227">SUM(E228:E235)</f>
        <v>102000</v>
      </c>
      <c r="F227" s="78">
        <f t="shared" si="240"/>
        <v>0</v>
      </c>
      <c r="G227" s="78">
        <f t="shared" si="240"/>
        <v>102000</v>
      </c>
      <c r="H227" s="78">
        <f t="shared" si="240"/>
        <v>0</v>
      </c>
      <c r="I227" s="78">
        <f t="shared" si="240"/>
        <v>102000</v>
      </c>
      <c r="J227" s="78">
        <f t="shared" si="240"/>
        <v>0</v>
      </c>
      <c r="K227" s="78">
        <f t="shared" si="240"/>
        <v>102000</v>
      </c>
      <c r="L227" s="78">
        <f t="shared" si="240"/>
        <v>0</v>
      </c>
      <c r="M227" s="78">
        <f t="shared" si="240"/>
        <v>102000</v>
      </c>
      <c r="N227" s="78">
        <f t="shared" si="240"/>
        <v>0</v>
      </c>
      <c r="O227" s="78">
        <f t="shared" si="240"/>
        <v>102000</v>
      </c>
      <c r="P227" s="78">
        <f t="shared" si="240"/>
        <v>0</v>
      </c>
      <c r="Q227" s="78">
        <f t="shared" si="240"/>
        <v>102000</v>
      </c>
      <c r="R227" s="78">
        <f t="shared" si="240"/>
        <v>0</v>
      </c>
      <c r="S227" s="78">
        <f t="shared" si="240"/>
        <v>102000</v>
      </c>
      <c r="T227" s="78">
        <f t="shared" si="240"/>
        <v>0</v>
      </c>
      <c r="U227" s="78">
        <f t="shared" si="240"/>
        <v>102000</v>
      </c>
      <c r="V227" s="78">
        <f t="shared" si="240"/>
        <v>0</v>
      </c>
      <c r="W227" s="78">
        <f t="shared" si="240"/>
        <v>102000</v>
      </c>
      <c r="X227" s="78">
        <f aca="true" t="shared" si="241" ref="X227:AC227">SUM(X228:X235)</f>
        <v>0</v>
      </c>
      <c r="Y227" s="78">
        <f t="shared" si="241"/>
        <v>102000</v>
      </c>
      <c r="Z227" s="78">
        <f t="shared" si="241"/>
        <v>0</v>
      </c>
      <c r="AA227" s="78">
        <f t="shared" si="241"/>
        <v>102000</v>
      </c>
      <c r="AB227" s="78">
        <f t="shared" si="241"/>
        <v>0</v>
      </c>
      <c r="AC227" s="78">
        <f t="shared" si="241"/>
        <v>102000</v>
      </c>
      <c r="AD227" s="78">
        <f aca="true" t="shared" si="242" ref="AD227:AI227">SUM(AD228:AD235)</f>
        <v>0</v>
      </c>
      <c r="AE227" s="78">
        <f t="shared" si="242"/>
        <v>102000</v>
      </c>
      <c r="AF227" s="78">
        <f t="shared" si="242"/>
        <v>0</v>
      </c>
      <c r="AG227" s="78">
        <f t="shared" si="242"/>
        <v>102000</v>
      </c>
      <c r="AH227" s="78">
        <f t="shared" si="242"/>
        <v>0</v>
      </c>
      <c r="AI227" s="78">
        <f t="shared" si="242"/>
        <v>102000</v>
      </c>
      <c r="AJ227" s="78">
        <f>SUM(AJ228:AJ235)</f>
        <v>-5000</v>
      </c>
      <c r="AK227" s="78">
        <f>SUM(AK228:AK235)</f>
        <v>97000</v>
      </c>
      <c r="AL227" s="78">
        <f>SUM(AL228:AL235)</f>
        <v>0</v>
      </c>
      <c r="AM227" s="78">
        <f>SUM(AM228:AM235)</f>
        <v>97000</v>
      </c>
    </row>
    <row r="228" spans="1:42" s="23" customFormat="1" ht="21" customHeight="1">
      <c r="A228" s="83"/>
      <c r="B228" s="79"/>
      <c r="C228" s="67">
        <v>4100</v>
      </c>
      <c r="D228" s="37" t="s">
        <v>96</v>
      </c>
      <c r="E228" s="78">
        <v>40000</v>
      </c>
      <c r="F228" s="78"/>
      <c r="G228" s="78">
        <f>SUM(E228:F228)</f>
        <v>40000</v>
      </c>
      <c r="H228" s="78"/>
      <c r="I228" s="78">
        <f>SUM(G228:H228)</f>
        <v>40000</v>
      </c>
      <c r="J228" s="78"/>
      <c r="K228" s="78">
        <f>SUM(I228:J228)</f>
        <v>40000</v>
      </c>
      <c r="L228" s="78"/>
      <c r="M228" s="78">
        <f>SUM(K228:L228)</f>
        <v>40000</v>
      </c>
      <c r="N228" s="78"/>
      <c r="O228" s="78">
        <f>SUM(M228:N228)</f>
        <v>40000</v>
      </c>
      <c r="P228" s="78"/>
      <c r="Q228" s="78">
        <f>SUM(O228:P228)</f>
        <v>40000</v>
      </c>
      <c r="R228" s="78"/>
      <c r="S228" s="78">
        <f>SUM(Q228:R228)</f>
        <v>40000</v>
      </c>
      <c r="T228" s="78"/>
      <c r="U228" s="78">
        <f>SUM(S228:T228)</f>
        <v>40000</v>
      </c>
      <c r="V228" s="78"/>
      <c r="W228" s="78">
        <f>SUM(U228:V228)</f>
        <v>40000</v>
      </c>
      <c r="X228" s="78"/>
      <c r="Y228" s="78">
        <f>SUM(W228:X228)</f>
        <v>40000</v>
      </c>
      <c r="Z228" s="78"/>
      <c r="AA228" s="78">
        <f>SUM(Y228:Z228)</f>
        <v>40000</v>
      </c>
      <c r="AB228" s="78"/>
      <c r="AC228" s="78">
        <f>SUM(AA228:AB228)</f>
        <v>40000</v>
      </c>
      <c r="AD228" s="78"/>
      <c r="AE228" s="78">
        <f>SUM(AC228:AD228)</f>
        <v>40000</v>
      </c>
      <c r="AF228" s="78"/>
      <c r="AG228" s="78">
        <f>SUM(AE228:AF228)</f>
        <v>40000</v>
      </c>
      <c r="AH228" s="78"/>
      <c r="AI228" s="78">
        <f>SUM(AG228:AH228)</f>
        <v>40000</v>
      </c>
      <c r="AJ228" s="78"/>
      <c r="AK228" s="78">
        <f>SUM(AI228:AJ228)</f>
        <v>40000</v>
      </c>
      <c r="AL228" s="78"/>
      <c r="AM228" s="78">
        <f>SUM(AK228:AL228)</f>
        <v>40000</v>
      </c>
      <c r="AN228" s="113"/>
      <c r="AO228" s="113"/>
      <c r="AP228" s="113"/>
    </row>
    <row r="229" spans="1:42" s="23" customFormat="1" ht="21" customHeight="1">
      <c r="A229" s="83"/>
      <c r="B229" s="79"/>
      <c r="C229" s="67">
        <v>4170</v>
      </c>
      <c r="D229" s="37" t="s">
        <v>189</v>
      </c>
      <c r="E229" s="78">
        <v>5000</v>
      </c>
      <c r="F229" s="78"/>
      <c r="G229" s="78">
        <f aca="true" t="shared" si="243" ref="G229:G235">SUM(E229:F229)</f>
        <v>5000</v>
      </c>
      <c r="H229" s="78"/>
      <c r="I229" s="78">
        <f aca="true" t="shared" si="244" ref="I229:I235">SUM(G229:H229)</f>
        <v>5000</v>
      </c>
      <c r="J229" s="78"/>
      <c r="K229" s="78">
        <f aca="true" t="shared" si="245" ref="K229:K235">SUM(I229:J229)</f>
        <v>5000</v>
      </c>
      <c r="L229" s="78"/>
      <c r="M229" s="78">
        <f aca="true" t="shared" si="246" ref="M229:M235">SUM(K229:L229)</f>
        <v>5000</v>
      </c>
      <c r="N229" s="78"/>
      <c r="O229" s="78">
        <f aca="true" t="shared" si="247" ref="O229:O235">SUM(M229:N229)</f>
        <v>5000</v>
      </c>
      <c r="P229" s="78"/>
      <c r="Q229" s="78">
        <f aca="true" t="shared" si="248" ref="Q229:Q235">SUM(O229:P229)</f>
        <v>5000</v>
      </c>
      <c r="R229" s="78"/>
      <c r="S229" s="78">
        <f aca="true" t="shared" si="249" ref="S229:S235">SUM(Q229:R229)</f>
        <v>5000</v>
      </c>
      <c r="T229" s="78"/>
      <c r="U229" s="78">
        <f aca="true" t="shared" si="250" ref="U229:U235">SUM(S229:T229)</f>
        <v>5000</v>
      </c>
      <c r="V229" s="78"/>
      <c r="W229" s="78">
        <f aca="true" t="shared" si="251" ref="W229:W235">SUM(U229:V229)</f>
        <v>5000</v>
      </c>
      <c r="X229" s="78"/>
      <c r="Y229" s="78">
        <f aca="true" t="shared" si="252" ref="Y229:Y235">SUM(W229:X229)</f>
        <v>5000</v>
      </c>
      <c r="Z229" s="78"/>
      <c r="AA229" s="78">
        <f aca="true" t="shared" si="253" ref="AA229:AA235">SUM(Y229:Z229)</f>
        <v>5000</v>
      </c>
      <c r="AB229" s="78"/>
      <c r="AC229" s="78">
        <f aca="true" t="shared" si="254" ref="AC229:AC235">SUM(AA229:AB229)</f>
        <v>5000</v>
      </c>
      <c r="AD229" s="78"/>
      <c r="AE229" s="78">
        <f aca="true" t="shared" si="255" ref="AE229:AE235">SUM(AC229:AD229)</f>
        <v>5000</v>
      </c>
      <c r="AF229" s="78"/>
      <c r="AG229" s="78">
        <f aca="true" t="shared" si="256" ref="AG229:AG235">SUM(AE229:AF229)</f>
        <v>5000</v>
      </c>
      <c r="AH229" s="78"/>
      <c r="AI229" s="78">
        <f aca="true" t="shared" si="257" ref="AI229:AI235">SUM(AG229:AH229)</f>
        <v>5000</v>
      </c>
      <c r="AJ229" s="78">
        <v>-5000</v>
      </c>
      <c r="AK229" s="78">
        <f aca="true" t="shared" si="258" ref="AK229:AK235">SUM(AI229:AJ229)</f>
        <v>0</v>
      </c>
      <c r="AL229" s="78"/>
      <c r="AM229" s="78">
        <f aca="true" t="shared" si="259" ref="AM229:AM235">SUM(AK229:AL229)</f>
        <v>0</v>
      </c>
      <c r="AN229" s="113"/>
      <c r="AO229" s="113"/>
      <c r="AP229" s="113"/>
    </row>
    <row r="230" spans="1:39" s="23" customFormat="1" ht="21" customHeight="1">
      <c r="A230" s="83"/>
      <c r="B230" s="79"/>
      <c r="C230" s="67">
        <v>4210</v>
      </c>
      <c r="D230" s="37" t="s">
        <v>71</v>
      </c>
      <c r="E230" s="78">
        <v>2000</v>
      </c>
      <c r="F230" s="78"/>
      <c r="G230" s="78">
        <f t="shared" si="243"/>
        <v>2000</v>
      </c>
      <c r="H230" s="78"/>
      <c r="I230" s="78">
        <f t="shared" si="244"/>
        <v>2000</v>
      </c>
      <c r="J230" s="78"/>
      <c r="K230" s="78">
        <f t="shared" si="245"/>
        <v>2000</v>
      </c>
      <c r="L230" s="78"/>
      <c r="M230" s="78">
        <f t="shared" si="246"/>
        <v>2000</v>
      </c>
      <c r="N230" s="78"/>
      <c r="O230" s="78">
        <f t="shared" si="247"/>
        <v>2000</v>
      </c>
      <c r="P230" s="78"/>
      <c r="Q230" s="78">
        <f t="shared" si="248"/>
        <v>2000</v>
      </c>
      <c r="R230" s="78"/>
      <c r="S230" s="78">
        <f t="shared" si="249"/>
        <v>2000</v>
      </c>
      <c r="T230" s="78"/>
      <c r="U230" s="78">
        <f t="shared" si="250"/>
        <v>2000</v>
      </c>
      <c r="V230" s="78"/>
      <c r="W230" s="78">
        <f t="shared" si="251"/>
        <v>2000</v>
      </c>
      <c r="X230" s="78"/>
      <c r="Y230" s="78">
        <f t="shared" si="252"/>
        <v>2000</v>
      </c>
      <c r="Z230" s="78"/>
      <c r="AA230" s="78">
        <f t="shared" si="253"/>
        <v>2000</v>
      </c>
      <c r="AB230" s="78"/>
      <c r="AC230" s="78">
        <f t="shared" si="254"/>
        <v>2000</v>
      </c>
      <c r="AD230" s="78"/>
      <c r="AE230" s="78">
        <f t="shared" si="255"/>
        <v>2000</v>
      </c>
      <c r="AF230" s="78"/>
      <c r="AG230" s="78">
        <f t="shared" si="256"/>
        <v>2000</v>
      </c>
      <c r="AH230" s="78"/>
      <c r="AI230" s="78">
        <f t="shared" si="257"/>
        <v>2000</v>
      </c>
      <c r="AJ230" s="78"/>
      <c r="AK230" s="78">
        <f t="shared" si="258"/>
        <v>2000</v>
      </c>
      <c r="AL230" s="78"/>
      <c r="AM230" s="78">
        <f t="shared" si="259"/>
        <v>2000</v>
      </c>
    </row>
    <row r="231" spans="1:39" s="23" customFormat="1" ht="21" customHeight="1">
      <c r="A231" s="83"/>
      <c r="B231" s="79"/>
      <c r="C231" s="67">
        <v>4300</v>
      </c>
      <c r="D231" s="37" t="s">
        <v>78</v>
      </c>
      <c r="E231" s="78">
        <v>20000</v>
      </c>
      <c r="F231" s="78"/>
      <c r="G231" s="78">
        <f t="shared" si="243"/>
        <v>20000</v>
      </c>
      <c r="H231" s="78"/>
      <c r="I231" s="78">
        <f t="shared" si="244"/>
        <v>20000</v>
      </c>
      <c r="J231" s="78"/>
      <c r="K231" s="78">
        <f t="shared" si="245"/>
        <v>20000</v>
      </c>
      <c r="L231" s="78"/>
      <c r="M231" s="78">
        <f t="shared" si="246"/>
        <v>20000</v>
      </c>
      <c r="N231" s="78"/>
      <c r="O231" s="78">
        <f t="shared" si="247"/>
        <v>20000</v>
      </c>
      <c r="P231" s="78">
        <v>2000</v>
      </c>
      <c r="Q231" s="78">
        <f t="shared" si="248"/>
        <v>22000</v>
      </c>
      <c r="R231" s="78"/>
      <c r="S231" s="78">
        <f t="shared" si="249"/>
        <v>22000</v>
      </c>
      <c r="T231" s="78"/>
      <c r="U231" s="78">
        <f t="shared" si="250"/>
        <v>22000</v>
      </c>
      <c r="V231" s="78"/>
      <c r="W231" s="78">
        <f t="shared" si="251"/>
        <v>22000</v>
      </c>
      <c r="X231" s="78"/>
      <c r="Y231" s="78">
        <f t="shared" si="252"/>
        <v>22000</v>
      </c>
      <c r="Z231" s="78"/>
      <c r="AA231" s="78">
        <f t="shared" si="253"/>
        <v>22000</v>
      </c>
      <c r="AB231" s="78"/>
      <c r="AC231" s="78">
        <f t="shared" si="254"/>
        <v>22000</v>
      </c>
      <c r="AD231" s="78"/>
      <c r="AE231" s="78">
        <f t="shared" si="255"/>
        <v>22000</v>
      </c>
      <c r="AF231" s="78"/>
      <c r="AG231" s="78">
        <f t="shared" si="256"/>
        <v>22000</v>
      </c>
      <c r="AH231" s="78"/>
      <c r="AI231" s="78">
        <f t="shared" si="257"/>
        <v>22000</v>
      </c>
      <c r="AJ231" s="78"/>
      <c r="AK231" s="78">
        <f t="shared" si="258"/>
        <v>22000</v>
      </c>
      <c r="AL231" s="78">
        <v>1500</v>
      </c>
      <c r="AM231" s="78">
        <f t="shared" si="259"/>
        <v>23500</v>
      </c>
    </row>
    <row r="232" spans="1:39" s="23" customFormat="1" ht="21" customHeight="1">
      <c r="A232" s="83"/>
      <c r="B232" s="79"/>
      <c r="C232" s="67">
        <v>4430</v>
      </c>
      <c r="D232" s="37" t="s">
        <v>93</v>
      </c>
      <c r="E232" s="78">
        <v>2000</v>
      </c>
      <c r="F232" s="78"/>
      <c r="G232" s="78">
        <f t="shared" si="243"/>
        <v>2000</v>
      </c>
      <c r="H232" s="78"/>
      <c r="I232" s="78">
        <f t="shared" si="244"/>
        <v>2000</v>
      </c>
      <c r="J232" s="78"/>
      <c r="K232" s="78">
        <f t="shared" si="245"/>
        <v>2000</v>
      </c>
      <c r="L232" s="78"/>
      <c r="M232" s="78">
        <f t="shared" si="246"/>
        <v>2000</v>
      </c>
      <c r="N232" s="78"/>
      <c r="O232" s="78">
        <f t="shared" si="247"/>
        <v>2000</v>
      </c>
      <c r="P232" s="78"/>
      <c r="Q232" s="78">
        <f t="shared" si="248"/>
        <v>2000</v>
      </c>
      <c r="R232" s="78"/>
      <c r="S232" s="78">
        <f t="shared" si="249"/>
        <v>2000</v>
      </c>
      <c r="T232" s="78"/>
      <c r="U232" s="78">
        <f t="shared" si="250"/>
        <v>2000</v>
      </c>
      <c r="V232" s="78"/>
      <c r="W232" s="78">
        <f t="shared" si="251"/>
        <v>2000</v>
      </c>
      <c r="X232" s="78"/>
      <c r="Y232" s="78">
        <f t="shared" si="252"/>
        <v>2000</v>
      </c>
      <c r="Z232" s="78"/>
      <c r="AA232" s="78">
        <f t="shared" si="253"/>
        <v>2000</v>
      </c>
      <c r="AB232" s="78"/>
      <c r="AC232" s="78">
        <f t="shared" si="254"/>
        <v>2000</v>
      </c>
      <c r="AD232" s="78"/>
      <c r="AE232" s="78">
        <f t="shared" si="255"/>
        <v>2000</v>
      </c>
      <c r="AF232" s="78"/>
      <c r="AG232" s="78">
        <f t="shared" si="256"/>
        <v>2000</v>
      </c>
      <c r="AH232" s="78"/>
      <c r="AI232" s="78">
        <f t="shared" si="257"/>
        <v>2000</v>
      </c>
      <c r="AJ232" s="78"/>
      <c r="AK232" s="78">
        <f t="shared" si="258"/>
        <v>2000</v>
      </c>
      <c r="AL232" s="78">
        <v>-1500</v>
      </c>
      <c r="AM232" s="78">
        <f t="shared" si="259"/>
        <v>500</v>
      </c>
    </row>
    <row r="233" spans="1:39" s="23" customFormat="1" ht="27" customHeight="1">
      <c r="A233" s="83"/>
      <c r="B233" s="79"/>
      <c r="C233" s="67">
        <v>4610</v>
      </c>
      <c r="D233" s="37" t="s">
        <v>180</v>
      </c>
      <c r="E233" s="78">
        <v>29000</v>
      </c>
      <c r="F233" s="78"/>
      <c r="G233" s="78">
        <f t="shared" si="243"/>
        <v>29000</v>
      </c>
      <c r="H233" s="78"/>
      <c r="I233" s="78">
        <f t="shared" si="244"/>
        <v>29000</v>
      </c>
      <c r="J233" s="78"/>
      <c r="K233" s="78">
        <f t="shared" si="245"/>
        <v>29000</v>
      </c>
      <c r="L233" s="78"/>
      <c r="M233" s="78">
        <f t="shared" si="246"/>
        <v>29000</v>
      </c>
      <c r="N233" s="78"/>
      <c r="O233" s="78">
        <f t="shared" si="247"/>
        <v>29000</v>
      </c>
      <c r="P233" s="78">
        <v>-2000</v>
      </c>
      <c r="Q233" s="78">
        <f t="shared" si="248"/>
        <v>27000</v>
      </c>
      <c r="R233" s="78"/>
      <c r="S233" s="78">
        <f t="shared" si="249"/>
        <v>27000</v>
      </c>
      <c r="T233" s="78"/>
      <c r="U233" s="78">
        <f t="shared" si="250"/>
        <v>27000</v>
      </c>
      <c r="V233" s="78"/>
      <c r="W233" s="78">
        <f t="shared" si="251"/>
        <v>27000</v>
      </c>
      <c r="X233" s="78"/>
      <c r="Y233" s="78">
        <f t="shared" si="252"/>
        <v>27000</v>
      </c>
      <c r="Z233" s="78"/>
      <c r="AA233" s="78">
        <f t="shared" si="253"/>
        <v>27000</v>
      </c>
      <c r="AB233" s="78"/>
      <c r="AC233" s="78">
        <f t="shared" si="254"/>
        <v>27000</v>
      </c>
      <c r="AD233" s="78"/>
      <c r="AE233" s="78">
        <f t="shared" si="255"/>
        <v>27000</v>
      </c>
      <c r="AF233" s="78"/>
      <c r="AG233" s="78">
        <f t="shared" si="256"/>
        <v>27000</v>
      </c>
      <c r="AH233" s="78"/>
      <c r="AI233" s="78">
        <f t="shared" si="257"/>
        <v>27000</v>
      </c>
      <c r="AJ233" s="78"/>
      <c r="AK233" s="78">
        <f t="shared" si="258"/>
        <v>27000</v>
      </c>
      <c r="AL233" s="78"/>
      <c r="AM233" s="78">
        <f t="shared" si="259"/>
        <v>27000</v>
      </c>
    </row>
    <row r="234" spans="1:39" s="23" customFormat="1" ht="24">
      <c r="A234" s="83"/>
      <c r="B234" s="79"/>
      <c r="C234" s="67">
        <v>4740</v>
      </c>
      <c r="D234" s="37" t="s">
        <v>249</v>
      </c>
      <c r="E234" s="78">
        <v>2000</v>
      </c>
      <c r="F234" s="78"/>
      <c r="G234" s="78">
        <f t="shared" si="243"/>
        <v>2000</v>
      </c>
      <c r="H234" s="78"/>
      <c r="I234" s="78">
        <f t="shared" si="244"/>
        <v>2000</v>
      </c>
      <c r="J234" s="78"/>
      <c r="K234" s="78">
        <f t="shared" si="245"/>
        <v>2000</v>
      </c>
      <c r="L234" s="78"/>
      <c r="M234" s="78">
        <f t="shared" si="246"/>
        <v>2000</v>
      </c>
      <c r="N234" s="78"/>
      <c r="O234" s="78">
        <f t="shared" si="247"/>
        <v>2000</v>
      </c>
      <c r="P234" s="78"/>
      <c r="Q234" s="78">
        <f t="shared" si="248"/>
        <v>2000</v>
      </c>
      <c r="R234" s="78"/>
      <c r="S234" s="78">
        <f t="shared" si="249"/>
        <v>2000</v>
      </c>
      <c r="T234" s="78"/>
      <c r="U234" s="78">
        <f t="shared" si="250"/>
        <v>2000</v>
      </c>
      <c r="V234" s="78"/>
      <c r="W234" s="78">
        <f t="shared" si="251"/>
        <v>2000</v>
      </c>
      <c r="X234" s="78"/>
      <c r="Y234" s="78">
        <f t="shared" si="252"/>
        <v>2000</v>
      </c>
      <c r="Z234" s="78"/>
      <c r="AA234" s="78">
        <f t="shared" si="253"/>
        <v>2000</v>
      </c>
      <c r="AB234" s="78"/>
      <c r="AC234" s="78">
        <f t="shared" si="254"/>
        <v>2000</v>
      </c>
      <c r="AD234" s="78"/>
      <c r="AE234" s="78">
        <f t="shared" si="255"/>
        <v>2000</v>
      </c>
      <c r="AF234" s="78"/>
      <c r="AG234" s="78">
        <f t="shared" si="256"/>
        <v>2000</v>
      </c>
      <c r="AH234" s="78"/>
      <c r="AI234" s="78">
        <f t="shared" si="257"/>
        <v>2000</v>
      </c>
      <c r="AJ234" s="78"/>
      <c r="AK234" s="78">
        <f t="shared" si="258"/>
        <v>2000</v>
      </c>
      <c r="AL234" s="78"/>
      <c r="AM234" s="78">
        <f t="shared" si="259"/>
        <v>2000</v>
      </c>
    </row>
    <row r="235" spans="1:39" s="23" customFormat="1" ht="24.75" customHeight="1">
      <c r="A235" s="83"/>
      <c r="B235" s="79"/>
      <c r="C235" s="67">
        <v>4750</v>
      </c>
      <c r="D235" s="37" t="s">
        <v>222</v>
      </c>
      <c r="E235" s="78">
        <v>2000</v>
      </c>
      <c r="F235" s="78"/>
      <c r="G235" s="78">
        <f t="shared" si="243"/>
        <v>2000</v>
      </c>
      <c r="H235" s="78"/>
      <c r="I235" s="78">
        <f t="shared" si="244"/>
        <v>2000</v>
      </c>
      <c r="J235" s="78"/>
      <c r="K235" s="78">
        <f t="shared" si="245"/>
        <v>2000</v>
      </c>
      <c r="L235" s="78"/>
      <c r="M235" s="78">
        <f t="shared" si="246"/>
        <v>2000</v>
      </c>
      <c r="N235" s="78"/>
      <c r="O235" s="78">
        <f t="shared" si="247"/>
        <v>2000</v>
      </c>
      <c r="P235" s="78"/>
      <c r="Q235" s="78">
        <f t="shared" si="248"/>
        <v>2000</v>
      </c>
      <c r="R235" s="78"/>
      <c r="S235" s="78">
        <f t="shared" si="249"/>
        <v>2000</v>
      </c>
      <c r="T235" s="78"/>
      <c r="U235" s="78">
        <f t="shared" si="250"/>
        <v>2000</v>
      </c>
      <c r="V235" s="78"/>
      <c r="W235" s="78">
        <f t="shared" si="251"/>
        <v>2000</v>
      </c>
      <c r="X235" s="78"/>
      <c r="Y235" s="78">
        <f t="shared" si="252"/>
        <v>2000</v>
      </c>
      <c r="Z235" s="78"/>
      <c r="AA235" s="78">
        <f t="shared" si="253"/>
        <v>2000</v>
      </c>
      <c r="AB235" s="78"/>
      <c r="AC235" s="78">
        <f t="shared" si="254"/>
        <v>2000</v>
      </c>
      <c r="AD235" s="78"/>
      <c r="AE235" s="78">
        <f t="shared" si="255"/>
        <v>2000</v>
      </c>
      <c r="AF235" s="78"/>
      <c r="AG235" s="78">
        <f t="shared" si="256"/>
        <v>2000</v>
      </c>
      <c r="AH235" s="78"/>
      <c r="AI235" s="78">
        <f t="shared" si="257"/>
        <v>2000</v>
      </c>
      <c r="AJ235" s="78"/>
      <c r="AK235" s="78">
        <f t="shared" si="258"/>
        <v>2000</v>
      </c>
      <c r="AL235" s="78"/>
      <c r="AM235" s="78">
        <f t="shared" si="259"/>
        <v>2000</v>
      </c>
    </row>
    <row r="236" spans="1:39" s="5" customFormat="1" ht="21.75" customHeight="1">
      <c r="A236" s="32" t="s">
        <v>101</v>
      </c>
      <c r="B236" s="33"/>
      <c r="C236" s="34"/>
      <c r="D236" s="35" t="s">
        <v>102</v>
      </c>
      <c r="E236" s="36">
        <f aca="true" t="shared" si="260" ref="E236:AM236">SUM(E237)</f>
        <v>900004</v>
      </c>
      <c r="F236" s="36">
        <f t="shared" si="260"/>
        <v>0</v>
      </c>
      <c r="G236" s="36">
        <f t="shared" si="260"/>
        <v>900004</v>
      </c>
      <c r="H236" s="36">
        <f t="shared" si="260"/>
        <v>0</v>
      </c>
      <c r="I236" s="36">
        <f t="shared" si="260"/>
        <v>900004</v>
      </c>
      <c r="J236" s="36">
        <f t="shared" si="260"/>
        <v>0</v>
      </c>
      <c r="K236" s="36">
        <f t="shared" si="260"/>
        <v>900004</v>
      </c>
      <c r="L236" s="36">
        <f t="shared" si="260"/>
        <v>0</v>
      </c>
      <c r="M236" s="36">
        <f t="shared" si="260"/>
        <v>900004</v>
      </c>
      <c r="N236" s="36">
        <f t="shared" si="260"/>
        <v>0</v>
      </c>
      <c r="O236" s="36">
        <f t="shared" si="260"/>
        <v>900004</v>
      </c>
      <c r="P236" s="36">
        <f t="shared" si="260"/>
        <v>0</v>
      </c>
      <c r="Q236" s="36">
        <f t="shared" si="260"/>
        <v>900004</v>
      </c>
      <c r="R236" s="36">
        <f t="shared" si="260"/>
        <v>0</v>
      </c>
      <c r="S236" s="36">
        <f t="shared" si="260"/>
        <v>900004</v>
      </c>
      <c r="T236" s="36">
        <f t="shared" si="260"/>
        <v>0</v>
      </c>
      <c r="U236" s="36">
        <f t="shared" si="260"/>
        <v>900004</v>
      </c>
      <c r="V236" s="36">
        <f t="shared" si="260"/>
        <v>0</v>
      </c>
      <c r="W236" s="36">
        <f t="shared" si="260"/>
        <v>900004</v>
      </c>
      <c r="X236" s="36">
        <f t="shared" si="260"/>
        <v>0</v>
      </c>
      <c r="Y236" s="36">
        <f t="shared" si="260"/>
        <v>900004</v>
      </c>
      <c r="Z236" s="36">
        <f t="shared" si="260"/>
        <v>0</v>
      </c>
      <c r="AA236" s="36">
        <f t="shared" si="260"/>
        <v>900004</v>
      </c>
      <c r="AB236" s="36">
        <f t="shared" si="260"/>
        <v>0</v>
      </c>
      <c r="AC236" s="36">
        <f t="shared" si="260"/>
        <v>900004</v>
      </c>
      <c r="AD236" s="36">
        <f t="shared" si="260"/>
        <v>0</v>
      </c>
      <c r="AE236" s="36">
        <f t="shared" si="260"/>
        <v>900004</v>
      </c>
      <c r="AF236" s="36">
        <f t="shared" si="260"/>
        <v>0</v>
      </c>
      <c r="AG236" s="36">
        <f t="shared" si="260"/>
        <v>900004</v>
      </c>
      <c r="AH236" s="36">
        <f t="shared" si="260"/>
        <v>0</v>
      </c>
      <c r="AI236" s="36">
        <f t="shared" si="260"/>
        <v>900004</v>
      </c>
      <c r="AJ236" s="36">
        <f t="shared" si="260"/>
        <v>0</v>
      </c>
      <c r="AK236" s="36">
        <f t="shared" si="260"/>
        <v>900004</v>
      </c>
      <c r="AL236" s="36">
        <f t="shared" si="260"/>
        <v>0</v>
      </c>
      <c r="AM236" s="36">
        <f t="shared" si="260"/>
        <v>900004</v>
      </c>
    </row>
    <row r="237" spans="1:39" s="23" customFormat="1" ht="36">
      <c r="A237" s="64"/>
      <c r="B237" s="79" t="s">
        <v>103</v>
      </c>
      <c r="C237" s="83"/>
      <c r="D237" s="37" t="s">
        <v>104</v>
      </c>
      <c r="E237" s="78">
        <f aca="true" t="shared" si="261" ref="E237:AM237">SUM(E238:E238)</f>
        <v>900004</v>
      </c>
      <c r="F237" s="78">
        <f t="shared" si="261"/>
        <v>0</v>
      </c>
      <c r="G237" s="78">
        <f t="shared" si="261"/>
        <v>900004</v>
      </c>
      <c r="H237" s="78">
        <f t="shared" si="261"/>
        <v>0</v>
      </c>
      <c r="I237" s="78">
        <f t="shared" si="261"/>
        <v>900004</v>
      </c>
      <c r="J237" s="78">
        <f t="shared" si="261"/>
        <v>0</v>
      </c>
      <c r="K237" s="78">
        <f t="shared" si="261"/>
        <v>900004</v>
      </c>
      <c r="L237" s="78">
        <f t="shared" si="261"/>
        <v>0</v>
      </c>
      <c r="M237" s="78">
        <f t="shared" si="261"/>
        <v>900004</v>
      </c>
      <c r="N237" s="78">
        <f t="shared" si="261"/>
        <v>0</v>
      </c>
      <c r="O237" s="78">
        <f t="shared" si="261"/>
        <v>900004</v>
      </c>
      <c r="P237" s="78">
        <f t="shared" si="261"/>
        <v>0</v>
      </c>
      <c r="Q237" s="78">
        <f t="shared" si="261"/>
        <v>900004</v>
      </c>
      <c r="R237" s="78">
        <f t="shared" si="261"/>
        <v>0</v>
      </c>
      <c r="S237" s="78">
        <f t="shared" si="261"/>
        <v>900004</v>
      </c>
      <c r="T237" s="78">
        <f t="shared" si="261"/>
        <v>0</v>
      </c>
      <c r="U237" s="78">
        <f t="shared" si="261"/>
        <v>900004</v>
      </c>
      <c r="V237" s="78">
        <f t="shared" si="261"/>
        <v>0</v>
      </c>
      <c r="W237" s="78">
        <f t="shared" si="261"/>
        <v>900004</v>
      </c>
      <c r="X237" s="78">
        <f t="shared" si="261"/>
        <v>0</v>
      </c>
      <c r="Y237" s="78">
        <f t="shared" si="261"/>
        <v>900004</v>
      </c>
      <c r="Z237" s="78">
        <f t="shared" si="261"/>
        <v>0</v>
      </c>
      <c r="AA237" s="78">
        <f t="shared" si="261"/>
        <v>900004</v>
      </c>
      <c r="AB237" s="78">
        <f t="shared" si="261"/>
        <v>0</v>
      </c>
      <c r="AC237" s="78">
        <f t="shared" si="261"/>
        <v>900004</v>
      </c>
      <c r="AD237" s="78">
        <f t="shared" si="261"/>
        <v>0</v>
      </c>
      <c r="AE237" s="78">
        <f t="shared" si="261"/>
        <v>900004</v>
      </c>
      <c r="AF237" s="78">
        <f t="shared" si="261"/>
        <v>0</v>
      </c>
      <c r="AG237" s="78">
        <f t="shared" si="261"/>
        <v>900004</v>
      </c>
      <c r="AH237" s="78">
        <f t="shared" si="261"/>
        <v>0</v>
      </c>
      <c r="AI237" s="78">
        <f t="shared" si="261"/>
        <v>900004</v>
      </c>
      <c r="AJ237" s="78">
        <f t="shared" si="261"/>
        <v>0</v>
      </c>
      <c r="AK237" s="78">
        <f t="shared" si="261"/>
        <v>900004</v>
      </c>
      <c r="AL237" s="78">
        <f t="shared" si="261"/>
        <v>0</v>
      </c>
      <c r="AM237" s="78">
        <f t="shared" si="261"/>
        <v>900004</v>
      </c>
    </row>
    <row r="238" spans="1:39" s="163" customFormat="1" ht="48">
      <c r="A238" s="64"/>
      <c r="B238" s="84"/>
      <c r="C238" s="83">
        <v>8110</v>
      </c>
      <c r="D238" s="37" t="s">
        <v>286</v>
      </c>
      <c r="E238" s="78">
        <v>900004</v>
      </c>
      <c r="F238" s="78"/>
      <c r="G238" s="78">
        <f>SUM(E238:F238)</f>
        <v>900004</v>
      </c>
      <c r="H238" s="78"/>
      <c r="I238" s="78">
        <f>SUM(G238:H238)</f>
        <v>900004</v>
      </c>
      <c r="J238" s="78"/>
      <c r="K238" s="78">
        <f>SUM(I238:J238)</f>
        <v>900004</v>
      </c>
      <c r="L238" s="78"/>
      <c r="M238" s="78">
        <f>SUM(K238:L238)</f>
        <v>900004</v>
      </c>
      <c r="N238" s="78"/>
      <c r="O238" s="78">
        <f>SUM(M238:N238)</f>
        <v>900004</v>
      </c>
      <c r="P238" s="78"/>
      <c r="Q238" s="78">
        <f>SUM(O238:P238)</f>
        <v>900004</v>
      </c>
      <c r="R238" s="78"/>
      <c r="S238" s="78">
        <f>SUM(Q238:R238)</f>
        <v>900004</v>
      </c>
      <c r="T238" s="78"/>
      <c r="U238" s="78">
        <f>SUM(S238:T238)</f>
        <v>900004</v>
      </c>
      <c r="V238" s="78"/>
      <c r="W238" s="78">
        <f>SUM(U238:V238)</f>
        <v>900004</v>
      </c>
      <c r="X238" s="78"/>
      <c r="Y238" s="78">
        <f>SUM(W238:X238)</f>
        <v>900004</v>
      </c>
      <c r="Z238" s="78"/>
      <c r="AA238" s="78">
        <f>SUM(Y238:Z238)</f>
        <v>900004</v>
      </c>
      <c r="AB238" s="78"/>
      <c r="AC238" s="78">
        <f>SUM(AA238:AB238)</f>
        <v>900004</v>
      </c>
      <c r="AD238" s="78"/>
      <c r="AE238" s="78">
        <f>SUM(AC238:AD238)</f>
        <v>900004</v>
      </c>
      <c r="AF238" s="78"/>
      <c r="AG238" s="78">
        <f>SUM(AE238:AF238)</f>
        <v>900004</v>
      </c>
      <c r="AH238" s="78"/>
      <c r="AI238" s="78">
        <f>SUM(AG238:AH238)</f>
        <v>900004</v>
      </c>
      <c r="AJ238" s="78"/>
      <c r="AK238" s="78">
        <f>SUM(AI238:AJ238)</f>
        <v>900004</v>
      </c>
      <c r="AL238" s="78"/>
      <c r="AM238" s="78">
        <f>SUM(AK238:AL238)</f>
        <v>900004</v>
      </c>
    </row>
    <row r="239" spans="1:39" s="5" customFormat="1" ht="21" customHeight="1">
      <c r="A239" s="32" t="s">
        <v>44</v>
      </c>
      <c r="B239" s="33"/>
      <c r="C239" s="34"/>
      <c r="D239" s="35" t="s">
        <v>45</v>
      </c>
      <c r="E239" s="36">
        <f aca="true" t="shared" si="262" ref="E239:P239">SUM(E242)</f>
        <v>1295930</v>
      </c>
      <c r="F239" s="36">
        <f t="shared" si="262"/>
        <v>318684</v>
      </c>
      <c r="G239" s="36">
        <f t="shared" si="262"/>
        <v>1614614</v>
      </c>
      <c r="H239" s="36">
        <f t="shared" si="262"/>
        <v>0</v>
      </c>
      <c r="I239" s="36">
        <f t="shared" si="262"/>
        <v>1614614</v>
      </c>
      <c r="J239" s="36">
        <f t="shared" si="262"/>
        <v>-47545</v>
      </c>
      <c r="K239" s="36">
        <f t="shared" si="262"/>
        <v>1567069</v>
      </c>
      <c r="L239" s="36">
        <f t="shared" si="262"/>
        <v>-933000</v>
      </c>
      <c r="M239" s="36">
        <f t="shared" si="262"/>
        <v>634069</v>
      </c>
      <c r="N239" s="36">
        <f t="shared" si="262"/>
        <v>0</v>
      </c>
      <c r="O239" s="36">
        <f t="shared" si="262"/>
        <v>634069</v>
      </c>
      <c r="P239" s="36">
        <f t="shared" si="262"/>
        <v>0</v>
      </c>
      <c r="Q239" s="36">
        <f aca="true" t="shared" si="263" ref="Q239:W239">SUM(Q242,Q240)</f>
        <v>634069</v>
      </c>
      <c r="R239" s="36">
        <f t="shared" si="263"/>
        <v>-47355</v>
      </c>
      <c r="S239" s="36">
        <f t="shared" si="263"/>
        <v>586714</v>
      </c>
      <c r="T239" s="36">
        <f t="shared" si="263"/>
        <v>0</v>
      </c>
      <c r="U239" s="36">
        <f t="shared" si="263"/>
        <v>586714</v>
      </c>
      <c r="V239" s="36">
        <f t="shared" si="263"/>
        <v>-40000</v>
      </c>
      <c r="W239" s="36">
        <f t="shared" si="263"/>
        <v>546714</v>
      </c>
      <c r="X239" s="36">
        <f aca="true" t="shared" si="264" ref="X239:AC239">SUM(X242,X240)</f>
        <v>0</v>
      </c>
      <c r="Y239" s="36">
        <f t="shared" si="264"/>
        <v>546714</v>
      </c>
      <c r="Z239" s="36">
        <f t="shared" si="264"/>
        <v>0</v>
      </c>
      <c r="AA239" s="36">
        <f t="shared" si="264"/>
        <v>546714</v>
      </c>
      <c r="AB239" s="36">
        <f t="shared" si="264"/>
        <v>-20000</v>
      </c>
      <c r="AC239" s="36">
        <f t="shared" si="264"/>
        <v>526714</v>
      </c>
      <c r="AD239" s="36">
        <f aca="true" t="shared" si="265" ref="AD239:AI239">SUM(AD242,AD240)</f>
        <v>121000</v>
      </c>
      <c r="AE239" s="36">
        <f t="shared" si="265"/>
        <v>647714</v>
      </c>
      <c r="AF239" s="36">
        <f t="shared" si="265"/>
        <v>0</v>
      </c>
      <c r="AG239" s="36">
        <f t="shared" si="265"/>
        <v>647714</v>
      </c>
      <c r="AH239" s="36">
        <f t="shared" si="265"/>
        <v>-76000</v>
      </c>
      <c r="AI239" s="36">
        <f t="shared" si="265"/>
        <v>571714</v>
      </c>
      <c r="AJ239" s="36">
        <f>SUM(AJ242,AJ240)</f>
        <v>0</v>
      </c>
      <c r="AK239" s="36">
        <f>SUM(AK242,AK240)</f>
        <v>571714</v>
      </c>
      <c r="AL239" s="36">
        <f>SUM(AL242,AL240)</f>
        <v>-4000</v>
      </c>
      <c r="AM239" s="36">
        <f>SUM(AM242,AM240)</f>
        <v>567714</v>
      </c>
    </row>
    <row r="240" spans="1:39" s="122" customFormat="1" ht="25.5" customHeight="1">
      <c r="A240" s="64"/>
      <c r="B240" s="84">
        <v>75807</v>
      </c>
      <c r="C240" s="83"/>
      <c r="D240" s="37" t="s">
        <v>182</v>
      </c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>
        <f aca="true" t="shared" si="266" ref="Q240:AM240">SUM(Q241)</f>
        <v>0</v>
      </c>
      <c r="R240" s="78">
        <f t="shared" si="266"/>
        <v>88</v>
      </c>
      <c r="S240" s="78">
        <f t="shared" si="266"/>
        <v>88</v>
      </c>
      <c r="T240" s="78">
        <f t="shared" si="266"/>
        <v>0</v>
      </c>
      <c r="U240" s="78">
        <f t="shared" si="266"/>
        <v>88</v>
      </c>
      <c r="V240" s="78">
        <f t="shared" si="266"/>
        <v>0</v>
      </c>
      <c r="W240" s="78">
        <f t="shared" si="266"/>
        <v>88</v>
      </c>
      <c r="X240" s="78">
        <f t="shared" si="266"/>
        <v>0</v>
      </c>
      <c r="Y240" s="78">
        <f t="shared" si="266"/>
        <v>88</v>
      </c>
      <c r="Z240" s="78">
        <f t="shared" si="266"/>
        <v>0</v>
      </c>
      <c r="AA240" s="78">
        <f t="shared" si="266"/>
        <v>88</v>
      </c>
      <c r="AB240" s="78">
        <f t="shared" si="266"/>
        <v>0</v>
      </c>
      <c r="AC240" s="78">
        <f t="shared" si="266"/>
        <v>88</v>
      </c>
      <c r="AD240" s="78">
        <f t="shared" si="266"/>
        <v>0</v>
      </c>
      <c r="AE240" s="78">
        <f t="shared" si="266"/>
        <v>88</v>
      </c>
      <c r="AF240" s="78">
        <f t="shared" si="266"/>
        <v>0</v>
      </c>
      <c r="AG240" s="78">
        <f t="shared" si="266"/>
        <v>88</v>
      </c>
      <c r="AH240" s="78">
        <f t="shared" si="266"/>
        <v>0</v>
      </c>
      <c r="AI240" s="78">
        <f t="shared" si="266"/>
        <v>88</v>
      </c>
      <c r="AJ240" s="78">
        <f t="shared" si="266"/>
        <v>0</v>
      </c>
      <c r="AK240" s="78">
        <f t="shared" si="266"/>
        <v>88</v>
      </c>
      <c r="AL240" s="78">
        <f t="shared" si="266"/>
        <v>0</v>
      </c>
      <c r="AM240" s="78">
        <f t="shared" si="266"/>
        <v>88</v>
      </c>
    </row>
    <row r="241" spans="1:39" s="122" customFormat="1" ht="21" customHeight="1">
      <c r="A241" s="64"/>
      <c r="B241" s="84"/>
      <c r="C241" s="83">
        <v>4560</v>
      </c>
      <c r="D241" s="37" t="s">
        <v>11</v>
      </c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>
        <v>0</v>
      </c>
      <c r="R241" s="78">
        <v>88</v>
      </c>
      <c r="S241" s="78">
        <f>SUM(Q241:R241)</f>
        <v>88</v>
      </c>
      <c r="T241" s="78"/>
      <c r="U241" s="78">
        <f>SUM(S241:T241)</f>
        <v>88</v>
      </c>
      <c r="V241" s="78"/>
      <c r="W241" s="78">
        <f>SUM(U241:V241)</f>
        <v>88</v>
      </c>
      <c r="X241" s="78"/>
      <c r="Y241" s="78">
        <f>SUM(W241:X241)</f>
        <v>88</v>
      </c>
      <c r="Z241" s="78"/>
      <c r="AA241" s="78">
        <f>SUM(Y241:Z241)</f>
        <v>88</v>
      </c>
      <c r="AB241" s="78"/>
      <c r="AC241" s="78">
        <f>SUM(AA241:AB241)</f>
        <v>88</v>
      </c>
      <c r="AD241" s="78"/>
      <c r="AE241" s="78">
        <f>SUM(AC241:AD241)</f>
        <v>88</v>
      </c>
      <c r="AF241" s="78"/>
      <c r="AG241" s="78">
        <f>SUM(AE241:AF241)</f>
        <v>88</v>
      </c>
      <c r="AH241" s="78"/>
      <c r="AI241" s="78">
        <f>SUM(AG241:AH241)</f>
        <v>88</v>
      </c>
      <c r="AJ241" s="78"/>
      <c r="AK241" s="78">
        <f>SUM(AI241:AJ241)</f>
        <v>88</v>
      </c>
      <c r="AL241" s="78"/>
      <c r="AM241" s="78">
        <f>SUM(AK241:AL241)</f>
        <v>88</v>
      </c>
    </row>
    <row r="242" spans="1:39" s="23" customFormat="1" ht="21" customHeight="1">
      <c r="A242" s="64"/>
      <c r="B242" s="79" t="s">
        <v>105</v>
      </c>
      <c r="C242" s="83"/>
      <c r="D242" s="37" t="s">
        <v>106</v>
      </c>
      <c r="E242" s="78">
        <f aca="true" t="shared" si="267" ref="E242:W242">SUM(E243:E244)</f>
        <v>1295930</v>
      </c>
      <c r="F242" s="78">
        <f t="shared" si="267"/>
        <v>318684</v>
      </c>
      <c r="G242" s="78">
        <f t="shared" si="267"/>
        <v>1614614</v>
      </c>
      <c r="H242" s="78">
        <f t="shared" si="267"/>
        <v>0</v>
      </c>
      <c r="I242" s="78">
        <f t="shared" si="267"/>
        <v>1614614</v>
      </c>
      <c r="J242" s="78">
        <f t="shared" si="267"/>
        <v>-47545</v>
      </c>
      <c r="K242" s="78">
        <f t="shared" si="267"/>
        <v>1567069</v>
      </c>
      <c r="L242" s="78">
        <f t="shared" si="267"/>
        <v>-933000</v>
      </c>
      <c r="M242" s="78">
        <f t="shared" si="267"/>
        <v>634069</v>
      </c>
      <c r="N242" s="78">
        <f t="shared" si="267"/>
        <v>0</v>
      </c>
      <c r="O242" s="78">
        <f t="shared" si="267"/>
        <v>634069</v>
      </c>
      <c r="P242" s="78">
        <f t="shared" si="267"/>
        <v>0</v>
      </c>
      <c r="Q242" s="78">
        <f t="shared" si="267"/>
        <v>634069</v>
      </c>
      <c r="R242" s="78">
        <f t="shared" si="267"/>
        <v>-47443</v>
      </c>
      <c r="S242" s="78">
        <f t="shared" si="267"/>
        <v>586626</v>
      </c>
      <c r="T242" s="78">
        <f t="shared" si="267"/>
        <v>0</v>
      </c>
      <c r="U242" s="78">
        <f t="shared" si="267"/>
        <v>586626</v>
      </c>
      <c r="V242" s="78">
        <f t="shared" si="267"/>
        <v>-40000</v>
      </c>
      <c r="W242" s="78">
        <f t="shared" si="267"/>
        <v>546626</v>
      </c>
      <c r="X242" s="78">
        <f aca="true" t="shared" si="268" ref="X242:AC242">SUM(X243:X244)</f>
        <v>0</v>
      </c>
      <c r="Y242" s="78">
        <f t="shared" si="268"/>
        <v>546626</v>
      </c>
      <c r="Z242" s="78">
        <f t="shared" si="268"/>
        <v>0</v>
      </c>
      <c r="AA242" s="78">
        <f t="shared" si="268"/>
        <v>546626</v>
      </c>
      <c r="AB242" s="78">
        <f t="shared" si="268"/>
        <v>-20000</v>
      </c>
      <c r="AC242" s="78">
        <f t="shared" si="268"/>
        <v>526626</v>
      </c>
      <c r="AD242" s="78">
        <f aca="true" t="shared" si="269" ref="AD242:AI242">SUM(AD243:AD244)</f>
        <v>121000</v>
      </c>
      <c r="AE242" s="78">
        <f t="shared" si="269"/>
        <v>647626</v>
      </c>
      <c r="AF242" s="78">
        <f t="shared" si="269"/>
        <v>0</v>
      </c>
      <c r="AG242" s="78">
        <f t="shared" si="269"/>
        <v>647626</v>
      </c>
      <c r="AH242" s="78">
        <f t="shared" si="269"/>
        <v>-76000</v>
      </c>
      <c r="AI242" s="78">
        <f t="shared" si="269"/>
        <v>571626</v>
      </c>
      <c r="AJ242" s="78">
        <f>SUM(AJ243:AJ244)</f>
        <v>0</v>
      </c>
      <c r="AK242" s="78">
        <f>SUM(AK243:AK244)</f>
        <v>571626</v>
      </c>
      <c r="AL242" s="78">
        <f>SUM(AL243:AL244)</f>
        <v>-4000</v>
      </c>
      <c r="AM242" s="78">
        <f>SUM(AM243:AM244)</f>
        <v>567626</v>
      </c>
    </row>
    <row r="243" spans="1:39" s="163" customFormat="1" ht="21" customHeight="1">
      <c r="A243" s="64"/>
      <c r="B243" s="84"/>
      <c r="C243" s="83">
        <v>4810</v>
      </c>
      <c r="D243" s="37" t="s">
        <v>107</v>
      </c>
      <c r="E243" s="78">
        <f>154270+150000+40560+76000+40000+55000+13500+450000+20000+80600</f>
        <v>1079930</v>
      </c>
      <c r="F243" s="78">
        <f>25000+40000+248684+5000</f>
        <v>318684</v>
      </c>
      <c r="G243" s="78">
        <f>SUM(E243:F243)</f>
        <v>1398614</v>
      </c>
      <c r="H243" s="78"/>
      <c r="I243" s="78">
        <f>SUM(G243:H243)</f>
        <v>1398614</v>
      </c>
      <c r="J243" s="78">
        <v>-47545</v>
      </c>
      <c r="K243" s="78">
        <f>SUM(I243:J243)</f>
        <v>1351069</v>
      </c>
      <c r="L243" s="78">
        <f>-6000-20000-5000-400000-402000</f>
        <v>-833000</v>
      </c>
      <c r="M243" s="78">
        <f>SUM(K243:L243)</f>
        <v>518069</v>
      </c>
      <c r="N243" s="78"/>
      <c r="O243" s="78">
        <f>SUM(M243:N243)</f>
        <v>518069</v>
      </c>
      <c r="P243" s="78"/>
      <c r="Q243" s="78">
        <f>SUM(O243:P243)</f>
        <v>518069</v>
      </c>
      <c r="R243" s="78">
        <f>-20955-91488+65000</f>
        <v>-47443</v>
      </c>
      <c r="S243" s="78">
        <f>SUM(Q243:R243)</f>
        <v>470626</v>
      </c>
      <c r="T243" s="78"/>
      <c r="U243" s="78">
        <f>SUM(S243:T243)</f>
        <v>470626</v>
      </c>
      <c r="V243" s="78">
        <f>-12000-28000</f>
        <v>-40000</v>
      </c>
      <c r="W243" s="78">
        <f>SUM(U243:V243)</f>
        <v>430626</v>
      </c>
      <c r="X243" s="78"/>
      <c r="Y243" s="78">
        <f>SUM(W243:X243)</f>
        <v>430626</v>
      </c>
      <c r="Z243" s="78"/>
      <c r="AA243" s="78">
        <f>SUM(Y243:Z243)</f>
        <v>430626</v>
      </c>
      <c r="AB243" s="78">
        <v>-20000</v>
      </c>
      <c r="AC243" s="78">
        <f>SUM(AA243:AB243)</f>
        <v>410626</v>
      </c>
      <c r="AD243" s="78">
        <f>-1000-8000+130000</f>
        <v>121000</v>
      </c>
      <c r="AE243" s="78">
        <f>SUM(AC243:AD243)</f>
        <v>531626</v>
      </c>
      <c r="AF243" s="78"/>
      <c r="AG243" s="78">
        <f>SUM(AE243:AF243)</f>
        <v>531626</v>
      </c>
      <c r="AH243" s="78">
        <v>-76000</v>
      </c>
      <c r="AI243" s="78">
        <f>SUM(AG243:AH243)</f>
        <v>455626</v>
      </c>
      <c r="AJ243" s="78"/>
      <c r="AK243" s="78">
        <f>SUM(AI243:AJ243)</f>
        <v>455626</v>
      </c>
      <c r="AL243" s="78">
        <v>-4000</v>
      </c>
      <c r="AM243" s="78">
        <f>SUM(AK243:AL243)</f>
        <v>451626</v>
      </c>
    </row>
    <row r="244" spans="1:39" s="23" customFormat="1" ht="24" customHeight="1">
      <c r="A244" s="64"/>
      <c r="B244" s="84"/>
      <c r="C244" s="83">
        <v>6800</v>
      </c>
      <c r="D244" s="37" t="s">
        <v>236</v>
      </c>
      <c r="E244" s="78">
        <f>25000+75000+100000+16000</f>
        <v>216000</v>
      </c>
      <c r="F244" s="78"/>
      <c r="G244" s="78">
        <f>SUM(E244:F244)</f>
        <v>216000</v>
      </c>
      <c r="H244" s="78"/>
      <c r="I244" s="78">
        <f>SUM(G244:H244)</f>
        <v>216000</v>
      </c>
      <c r="J244" s="78"/>
      <c r="K244" s="78">
        <f>SUM(I244:J244)</f>
        <v>216000</v>
      </c>
      <c r="L244" s="78">
        <v>-100000</v>
      </c>
      <c r="M244" s="78">
        <f>SUM(K244:L244)</f>
        <v>116000</v>
      </c>
      <c r="N244" s="78"/>
      <c r="O244" s="78">
        <f>SUM(M244:N244)</f>
        <v>116000</v>
      </c>
      <c r="P244" s="78"/>
      <c r="Q244" s="78">
        <f>SUM(O244:P244)</f>
        <v>116000</v>
      </c>
      <c r="R244" s="78"/>
      <c r="S244" s="78">
        <f>SUM(Q244:R244)</f>
        <v>116000</v>
      </c>
      <c r="T244" s="78"/>
      <c r="U244" s="78">
        <f>SUM(S244:T244)</f>
        <v>116000</v>
      </c>
      <c r="V244" s="78"/>
      <c r="W244" s="78">
        <f>SUM(U244:V244)</f>
        <v>116000</v>
      </c>
      <c r="X244" s="78"/>
      <c r="Y244" s="78">
        <f>SUM(W244:X244)</f>
        <v>116000</v>
      </c>
      <c r="Z244" s="78"/>
      <c r="AA244" s="78">
        <f>SUM(Y244:Z244)</f>
        <v>116000</v>
      </c>
      <c r="AB244" s="78"/>
      <c r="AC244" s="78">
        <f>SUM(AA244:AB244)</f>
        <v>116000</v>
      </c>
      <c r="AD244" s="78"/>
      <c r="AE244" s="78">
        <f>SUM(AC244:AD244)</f>
        <v>116000</v>
      </c>
      <c r="AF244" s="78"/>
      <c r="AG244" s="78">
        <f>SUM(AE244:AF244)</f>
        <v>116000</v>
      </c>
      <c r="AH244" s="78"/>
      <c r="AI244" s="78">
        <f>SUM(AG244:AH244)</f>
        <v>116000</v>
      </c>
      <c r="AJ244" s="78"/>
      <c r="AK244" s="78">
        <f>SUM(AI244:AJ244)</f>
        <v>116000</v>
      </c>
      <c r="AL244" s="78"/>
      <c r="AM244" s="78">
        <f>SUM(AK244:AL244)</f>
        <v>116000</v>
      </c>
    </row>
    <row r="245" spans="1:39" s="6" customFormat="1" ht="20.25" customHeight="1">
      <c r="A245" s="32" t="s">
        <v>108</v>
      </c>
      <c r="B245" s="33"/>
      <c r="C245" s="34"/>
      <c r="D245" s="35" t="s">
        <v>109</v>
      </c>
      <c r="E245" s="36">
        <f aca="true" t="shared" si="270" ref="E245:W245">SUM(E246,E274,E292,E297,E323,E330,E335,E350)</f>
        <v>30107018</v>
      </c>
      <c r="F245" s="36">
        <f t="shared" si="270"/>
        <v>-861184</v>
      </c>
      <c r="G245" s="36">
        <f t="shared" si="270"/>
        <v>29245834</v>
      </c>
      <c r="H245" s="36">
        <f t="shared" si="270"/>
        <v>0</v>
      </c>
      <c r="I245" s="36">
        <f t="shared" si="270"/>
        <v>29245834</v>
      </c>
      <c r="J245" s="36">
        <f t="shared" si="270"/>
        <v>0</v>
      </c>
      <c r="K245" s="36">
        <f t="shared" si="270"/>
        <v>29245834</v>
      </c>
      <c r="L245" s="36">
        <f t="shared" si="270"/>
        <v>46574</v>
      </c>
      <c r="M245" s="36">
        <f t="shared" si="270"/>
        <v>29292408</v>
      </c>
      <c r="N245" s="36">
        <f t="shared" si="270"/>
        <v>19000</v>
      </c>
      <c r="O245" s="36">
        <f t="shared" si="270"/>
        <v>29311408</v>
      </c>
      <c r="P245" s="36">
        <f t="shared" si="270"/>
        <v>75816</v>
      </c>
      <c r="Q245" s="36">
        <f t="shared" si="270"/>
        <v>29387224</v>
      </c>
      <c r="R245" s="36">
        <f t="shared" si="270"/>
        <v>194302</v>
      </c>
      <c r="S245" s="36">
        <f t="shared" si="270"/>
        <v>29581526</v>
      </c>
      <c r="T245" s="36">
        <f t="shared" si="270"/>
        <v>0</v>
      </c>
      <c r="U245" s="36">
        <f t="shared" si="270"/>
        <v>29581526</v>
      </c>
      <c r="V245" s="36">
        <f t="shared" si="270"/>
        <v>0</v>
      </c>
      <c r="W245" s="36">
        <f t="shared" si="270"/>
        <v>29581526</v>
      </c>
      <c r="X245" s="36">
        <f aca="true" t="shared" si="271" ref="X245:AC245">SUM(X246,X274,X292,X297,X323,X330,X335,X350)</f>
        <v>0</v>
      </c>
      <c r="Y245" s="36">
        <f t="shared" si="271"/>
        <v>29581526</v>
      </c>
      <c r="Z245" s="36">
        <f t="shared" si="271"/>
        <v>0</v>
      </c>
      <c r="AA245" s="36">
        <f t="shared" si="271"/>
        <v>29581526</v>
      </c>
      <c r="AB245" s="36">
        <f t="shared" si="271"/>
        <v>0</v>
      </c>
      <c r="AC245" s="36">
        <f t="shared" si="271"/>
        <v>29581526</v>
      </c>
      <c r="AD245" s="36">
        <f aca="true" t="shared" si="272" ref="AD245:AI245">SUM(AD246,AD274,AD292,AD297,AD323,AD330,AD335,AD350)</f>
        <v>118294</v>
      </c>
      <c r="AE245" s="36">
        <f t="shared" si="272"/>
        <v>29699820</v>
      </c>
      <c r="AF245" s="36">
        <f t="shared" si="272"/>
        <v>217791</v>
      </c>
      <c r="AG245" s="36">
        <f t="shared" si="272"/>
        <v>29917611</v>
      </c>
      <c r="AH245" s="36">
        <f t="shared" si="272"/>
        <v>0</v>
      </c>
      <c r="AI245" s="36">
        <f t="shared" si="272"/>
        <v>29917611</v>
      </c>
      <c r="AJ245" s="36">
        <f>SUM(AJ246,AJ274,AJ292,AJ297,AJ323,AJ330,AJ335,AJ350)</f>
        <v>595364</v>
      </c>
      <c r="AK245" s="36">
        <f>SUM(AK246,AK274,AK292,AK297,AK323,AK330,AK335,AK350)</f>
        <v>30512975</v>
      </c>
      <c r="AL245" s="36">
        <f>SUM(AL246,AL274,AL292,AL297,AL323,AL330,AL335,AL350)</f>
        <v>0</v>
      </c>
      <c r="AM245" s="36">
        <f>SUM(AM246,AM274,AM292,AM297,AM323,AM330,AM335,AM350)</f>
        <v>30512975</v>
      </c>
    </row>
    <row r="246" spans="1:39" s="23" customFormat="1" ht="22.5" customHeight="1">
      <c r="A246" s="64"/>
      <c r="B246" s="79" t="s">
        <v>110</v>
      </c>
      <c r="C246" s="83"/>
      <c r="D246" s="37" t="s">
        <v>50</v>
      </c>
      <c r="E246" s="78">
        <f aca="true" t="shared" si="273" ref="E246:W246">SUM(E247:E273)</f>
        <v>12980229</v>
      </c>
      <c r="F246" s="78">
        <f t="shared" si="273"/>
        <v>-110000</v>
      </c>
      <c r="G246" s="78">
        <f t="shared" si="273"/>
        <v>12870229</v>
      </c>
      <c r="H246" s="78">
        <f t="shared" si="273"/>
        <v>0</v>
      </c>
      <c r="I246" s="78">
        <f t="shared" si="273"/>
        <v>12870229</v>
      </c>
      <c r="J246" s="78">
        <f t="shared" si="273"/>
        <v>0</v>
      </c>
      <c r="K246" s="78">
        <f t="shared" si="273"/>
        <v>12870229</v>
      </c>
      <c r="L246" s="78">
        <f t="shared" si="273"/>
        <v>11710</v>
      </c>
      <c r="M246" s="78">
        <f t="shared" si="273"/>
        <v>12881939</v>
      </c>
      <c r="N246" s="78">
        <f t="shared" si="273"/>
        <v>19000</v>
      </c>
      <c r="O246" s="78">
        <f t="shared" si="273"/>
        <v>12900939</v>
      </c>
      <c r="P246" s="78">
        <f t="shared" si="273"/>
        <v>75816</v>
      </c>
      <c r="Q246" s="78">
        <f t="shared" si="273"/>
        <v>12976755</v>
      </c>
      <c r="R246" s="78">
        <f t="shared" si="273"/>
        <v>106081</v>
      </c>
      <c r="S246" s="78">
        <f t="shared" si="273"/>
        <v>13082836</v>
      </c>
      <c r="T246" s="78">
        <f t="shared" si="273"/>
        <v>0</v>
      </c>
      <c r="U246" s="78">
        <f t="shared" si="273"/>
        <v>13082836</v>
      </c>
      <c r="V246" s="78">
        <f t="shared" si="273"/>
        <v>0</v>
      </c>
      <c r="W246" s="78">
        <f t="shared" si="273"/>
        <v>13082836</v>
      </c>
      <c r="X246" s="78">
        <f aca="true" t="shared" si="274" ref="X246:AC246">SUM(X247:X273)</f>
        <v>0</v>
      </c>
      <c r="Y246" s="78">
        <f t="shared" si="274"/>
        <v>13082836</v>
      </c>
      <c r="Z246" s="78">
        <f t="shared" si="274"/>
        <v>0</v>
      </c>
      <c r="AA246" s="78">
        <f t="shared" si="274"/>
        <v>13082836</v>
      </c>
      <c r="AB246" s="78">
        <f t="shared" si="274"/>
        <v>0</v>
      </c>
      <c r="AC246" s="78">
        <f t="shared" si="274"/>
        <v>13082836</v>
      </c>
      <c r="AD246" s="78">
        <f aca="true" t="shared" si="275" ref="AD246:AI246">SUM(AD247:AD273)</f>
        <v>65627</v>
      </c>
      <c r="AE246" s="78">
        <f t="shared" si="275"/>
        <v>13148463</v>
      </c>
      <c r="AF246" s="78">
        <f t="shared" si="275"/>
        <v>122429</v>
      </c>
      <c r="AG246" s="78">
        <f t="shared" si="275"/>
        <v>13270892</v>
      </c>
      <c r="AH246" s="78">
        <f t="shared" si="275"/>
        <v>0</v>
      </c>
      <c r="AI246" s="78">
        <f t="shared" si="275"/>
        <v>13270892</v>
      </c>
      <c r="AJ246" s="78">
        <f>SUM(AJ247:AJ273)</f>
        <v>176978</v>
      </c>
      <c r="AK246" s="78">
        <f>SUM(AK247:AK273)</f>
        <v>13447870</v>
      </c>
      <c r="AL246" s="78">
        <f>SUM(AL247:AL273)</f>
        <v>0</v>
      </c>
      <c r="AM246" s="78">
        <f>SUM(AM247:AM273)</f>
        <v>13447870</v>
      </c>
    </row>
    <row r="247" spans="1:39" s="23" customFormat="1" ht="56.25">
      <c r="A247" s="64"/>
      <c r="B247" s="79"/>
      <c r="C247" s="83">
        <v>2590</v>
      </c>
      <c r="D247" s="37" t="s">
        <v>284</v>
      </c>
      <c r="E247" s="78">
        <v>746055</v>
      </c>
      <c r="F247" s="78"/>
      <c r="G247" s="78">
        <f>SUM(E247:F247)</f>
        <v>746055</v>
      </c>
      <c r="H247" s="78"/>
      <c r="I247" s="78">
        <f>SUM(G247:H247)</f>
        <v>746055</v>
      </c>
      <c r="J247" s="78"/>
      <c r="K247" s="78">
        <f>SUM(I247:J247)</f>
        <v>746055</v>
      </c>
      <c r="L247" s="78"/>
      <c r="M247" s="78">
        <f>SUM(K247:L247)</f>
        <v>746055</v>
      </c>
      <c r="N247" s="78"/>
      <c r="O247" s="78">
        <f>SUM(M247:N247)</f>
        <v>746055</v>
      </c>
      <c r="P247" s="78"/>
      <c r="Q247" s="78">
        <f>SUM(O247:P247)</f>
        <v>746055</v>
      </c>
      <c r="R247" s="78"/>
      <c r="S247" s="78">
        <f>SUM(Q247:R247)</f>
        <v>746055</v>
      </c>
      <c r="T247" s="78"/>
      <c r="U247" s="78">
        <f>SUM(S247:T247)</f>
        <v>746055</v>
      </c>
      <c r="V247" s="78"/>
      <c r="W247" s="78">
        <f>SUM(U247:V247)</f>
        <v>746055</v>
      </c>
      <c r="X247" s="78"/>
      <c r="Y247" s="78">
        <f>SUM(W247:X247)</f>
        <v>746055</v>
      </c>
      <c r="Z247" s="78"/>
      <c r="AA247" s="78">
        <f>SUM(Y247:Z247)</f>
        <v>746055</v>
      </c>
      <c r="AB247" s="78"/>
      <c r="AC247" s="78">
        <f>SUM(AA247:AB247)</f>
        <v>746055</v>
      </c>
      <c r="AD247" s="78"/>
      <c r="AE247" s="78">
        <f>SUM(AC247:AD247)</f>
        <v>746055</v>
      </c>
      <c r="AF247" s="78">
        <v>122429</v>
      </c>
      <c r="AG247" s="78">
        <f>SUM(AE247:AF247)</f>
        <v>868484</v>
      </c>
      <c r="AH247" s="78"/>
      <c r="AI247" s="78">
        <f>SUM(AG247:AH247)</f>
        <v>868484</v>
      </c>
      <c r="AJ247" s="78">
        <v>2496</v>
      </c>
      <c r="AK247" s="78">
        <f>SUM(AI247:AJ247)</f>
        <v>870980</v>
      </c>
      <c r="AL247" s="78"/>
      <c r="AM247" s="78">
        <f>SUM(AK247:AL247)</f>
        <v>870980</v>
      </c>
    </row>
    <row r="248" spans="1:39" s="23" customFormat="1" ht="22.5">
      <c r="A248" s="64"/>
      <c r="B248" s="79"/>
      <c r="C248" s="64">
        <v>3020</v>
      </c>
      <c r="D248" s="37" t="s">
        <v>208</v>
      </c>
      <c r="E248" s="78">
        <v>220760</v>
      </c>
      <c r="F248" s="78"/>
      <c r="G248" s="78">
        <f>SUM(E248:F248)</f>
        <v>220760</v>
      </c>
      <c r="H248" s="78"/>
      <c r="I248" s="78">
        <f>SUM(G248:H248)</f>
        <v>220760</v>
      </c>
      <c r="J248" s="78"/>
      <c r="K248" s="78">
        <f>SUM(I248:J248)</f>
        <v>220760</v>
      </c>
      <c r="L248" s="78"/>
      <c r="M248" s="78">
        <f>SUM(K248:L248)</f>
        <v>220760</v>
      </c>
      <c r="N248" s="78"/>
      <c r="O248" s="78">
        <f>SUM(M248:N248)</f>
        <v>220760</v>
      </c>
      <c r="P248" s="78"/>
      <c r="Q248" s="78">
        <f>SUM(O248:P248)</f>
        <v>220760</v>
      </c>
      <c r="R248" s="78"/>
      <c r="S248" s="78">
        <f>SUM(Q248:R248)</f>
        <v>220760</v>
      </c>
      <c r="T248" s="78">
        <v>-8000</v>
      </c>
      <c r="U248" s="78">
        <f>SUM(S248:T248)</f>
        <v>212760</v>
      </c>
      <c r="V248" s="78"/>
      <c r="W248" s="78">
        <f>SUM(U248:V248)</f>
        <v>212760</v>
      </c>
      <c r="X248" s="78"/>
      <c r="Y248" s="78">
        <f>SUM(W248:X248)</f>
        <v>212760</v>
      </c>
      <c r="Z248" s="78"/>
      <c r="AA248" s="78">
        <f>SUM(Y248:Z248)</f>
        <v>212760</v>
      </c>
      <c r="AB248" s="78"/>
      <c r="AC248" s="78">
        <f>SUM(AA248:AB248)</f>
        <v>212760</v>
      </c>
      <c r="AD248" s="78"/>
      <c r="AE248" s="78">
        <f>SUM(AC248:AD248)</f>
        <v>212760</v>
      </c>
      <c r="AF248" s="78"/>
      <c r="AG248" s="78">
        <f>SUM(AE248:AF248)</f>
        <v>212760</v>
      </c>
      <c r="AH248" s="78"/>
      <c r="AI248" s="78">
        <f>SUM(AG248:AH248)</f>
        <v>212760</v>
      </c>
      <c r="AJ248" s="78">
        <f>95-6027</f>
        <v>-5932</v>
      </c>
      <c r="AK248" s="78">
        <f>SUM(AI248:AJ248)</f>
        <v>206828</v>
      </c>
      <c r="AL248" s="78"/>
      <c r="AM248" s="78">
        <f>SUM(AK248:AL248)</f>
        <v>206828</v>
      </c>
    </row>
    <row r="249" spans="1:42" s="23" customFormat="1" ht="21" customHeight="1">
      <c r="A249" s="64"/>
      <c r="B249" s="79"/>
      <c r="C249" s="64">
        <v>4010</v>
      </c>
      <c r="D249" s="37" t="s">
        <v>83</v>
      </c>
      <c r="E249" s="78">
        <v>7370338</v>
      </c>
      <c r="F249" s="78"/>
      <c r="G249" s="78">
        <f aca="true" t="shared" si="276" ref="G249:G273">SUM(E249:F249)</f>
        <v>7370338</v>
      </c>
      <c r="H249" s="78"/>
      <c r="I249" s="78">
        <f aca="true" t="shared" si="277" ref="I249:I273">SUM(G249:H249)</f>
        <v>7370338</v>
      </c>
      <c r="J249" s="78"/>
      <c r="K249" s="78">
        <f aca="true" t="shared" si="278" ref="K249:K273">SUM(I249:J249)</f>
        <v>7370338</v>
      </c>
      <c r="L249" s="78">
        <f>2440+17103</f>
        <v>19543</v>
      </c>
      <c r="M249" s="78">
        <f aca="true" t="shared" si="279" ref="M249:M273">SUM(K249:L249)</f>
        <v>7389881</v>
      </c>
      <c r="N249" s="78"/>
      <c r="O249" s="78">
        <f aca="true" t="shared" si="280" ref="O249:O273">SUM(M249:N249)</f>
        <v>7389881</v>
      </c>
      <c r="P249" s="78"/>
      <c r="Q249" s="78">
        <f aca="true" t="shared" si="281" ref="Q249:Q273">SUM(O249:P249)</f>
        <v>7389881</v>
      </c>
      <c r="R249" s="78"/>
      <c r="S249" s="78">
        <f aca="true" t="shared" si="282" ref="S249:S273">SUM(Q249:R249)</f>
        <v>7389881</v>
      </c>
      <c r="T249" s="78"/>
      <c r="U249" s="78">
        <f aca="true" t="shared" si="283" ref="U249:U273">SUM(S249:T249)</f>
        <v>7389881</v>
      </c>
      <c r="V249" s="78"/>
      <c r="W249" s="78">
        <f aca="true" t="shared" si="284" ref="W249:W273">SUM(U249:V249)</f>
        <v>7389881</v>
      </c>
      <c r="X249" s="78"/>
      <c r="Y249" s="78">
        <f aca="true" t="shared" si="285" ref="Y249:Y273">SUM(W249:X249)</f>
        <v>7389881</v>
      </c>
      <c r="Z249" s="78"/>
      <c r="AA249" s="78">
        <f aca="true" t="shared" si="286" ref="AA249:AA273">SUM(Y249:Z249)</f>
        <v>7389881</v>
      </c>
      <c r="AB249" s="78"/>
      <c r="AC249" s="78">
        <f aca="true" t="shared" si="287" ref="AC249:AC273">SUM(AA249:AB249)</f>
        <v>7389881</v>
      </c>
      <c r="AD249" s="78"/>
      <c r="AE249" s="78">
        <f aca="true" t="shared" si="288" ref="AE249:AE273">SUM(AC249:AD249)</f>
        <v>7389881</v>
      </c>
      <c r="AF249" s="78"/>
      <c r="AG249" s="78">
        <f aca="true" t="shared" si="289" ref="AG249:AG273">SUM(AE249:AF249)</f>
        <v>7389881</v>
      </c>
      <c r="AH249" s="78"/>
      <c r="AI249" s="78">
        <f aca="true" t="shared" si="290" ref="AI249:AI273">SUM(AG249:AH249)</f>
        <v>7389881</v>
      </c>
      <c r="AJ249" s="78">
        <f>173284-20091</f>
        <v>153193</v>
      </c>
      <c r="AK249" s="78">
        <f aca="true" t="shared" si="291" ref="AK249:AK273">SUM(AI249:AJ249)</f>
        <v>7543074</v>
      </c>
      <c r="AL249" s="78"/>
      <c r="AM249" s="78">
        <f aca="true" t="shared" si="292" ref="AM249:AM273">SUM(AK249:AL249)</f>
        <v>7543074</v>
      </c>
      <c r="AN249" s="113"/>
      <c r="AO249" s="113"/>
      <c r="AP249" s="113"/>
    </row>
    <row r="250" spans="1:42" s="23" customFormat="1" ht="21" customHeight="1">
      <c r="A250" s="64"/>
      <c r="B250" s="79"/>
      <c r="C250" s="64">
        <v>4040</v>
      </c>
      <c r="D250" s="37" t="s">
        <v>84</v>
      </c>
      <c r="E250" s="78">
        <v>586366</v>
      </c>
      <c r="F250" s="78"/>
      <c r="G250" s="78">
        <f t="shared" si="276"/>
        <v>586366</v>
      </c>
      <c r="H250" s="78"/>
      <c r="I250" s="78">
        <f t="shared" si="277"/>
        <v>586366</v>
      </c>
      <c r="J250" s="78"/>
      <c r="K250" s="78">
        <f t="shared" si="278"/>
        <v>586366</v>
      </c>
      <c r="L250" s="78">
        <v>-15057</v>
      </c>
      <c r="M250" s="78">
        <f t="shared" si="279"/>
        <v>571309</v>
      </c>
      <c r="N250" s="78"/>
      <c r="O250" s="78">
        <f t="shared" si="280"/>
        <v>571309</v>
      </c>
      <c r="P250" s="78"/>
      <c r="Q250" s="78">
        <f t="shared" si="281"/>
        <v>571309</v>
      </c>
      <c r="R250" s="78"/>
      <c r="S250" s="78">
        <f t="shared" si="282"/>
        <v>571309</v>
      </c>
      <c r="T250" s="78"/>
      <c r="U250" s="78">
        <f t="shared" si="283"/>
        <v>571309</v>
      </c>
      <c r="V250" s="78"/>
      <c r="W250" s="78">
        <f t="shared" si="284"/>
        <v>571309</v>
      </c>
      <c r="X250" s="78"/>
      <c r="Y250" s="78">
        <f t="shared" si="285"/>
        <v>571309</v>
      </c>
      <c r="Z250" s="78"/>
      <c r="AA250" s="78">
        <f t="shared" si="286"/>
        <v>571309</v>
      </c>
      <c r="AB250" s="78"/>
      <c r="AC250" s="78">
        <f t="shared" si="287"/>
        <v>571309</v>
      </c>
      <c r="AD250" s="78"/>
      <c r="AE250" s="78">
        <f t="shared" si="288"/>
        <v>571309</v>
      </c>
      <c r="AF250" s="78"/>
      <c r="AG250" s="78">
        <f t="shared" si="289"/>
        <v>571309</v>
      </c>
      <c r="AH250" s="78"/>
      <c r="AI250" s="78">
        <f t="shared" si="290"/>
        <v>571309</v>
      </c>
      <c r="AJ250" s="78"/>
      <c r="AK250" s="78">
        <f t="shared" si="291"/>
        <v>571309</v>
      </c>
      <c r="AL250" s="78"/>
      <c r="AM250" s="78">
        <f t="shared" si="292"/>
        <v>571309</v>
      </c>
      <c r="AN250" s="113"/>
      <c r="AO250" s="113"/>
      <c r="AP250" s="113"/>
    </row>
    <row r="251" spans="1:42" s="23" customFormat="1" ht="21" customHeight="1">
      <c r="A251" s="64"/>
      <c r="B251" s="79"/>
      <c r="C251" s="64">
        <v>4110</v>
      </c>
      <c r="D251" s="37" t="s">
        <v>85</v>
      </c>
      <c r="E251" s="78">
        <v>1218585</v>
      </c>
      <c r="F251" s="78"/>
      <c r="G251" s="78">
        <f t="shared" si="276"/>
        <v>1218585</v>
      </c>
      <c r="H251" s="78"/>
      <c r="I251" s="78">
        <f t="shared" si="277"/>
        <v>1218585</v>
      </c>
      <c r="J251" s="78"/>
      <c r="K251" s="78">
        <f t="shared" si="278"/>
        <v>1218585</v>
      </c>
      <c r="L251" s="78">
        <v>401</v>
      </c>
      <c r="M251" s="78">
        <f t="shared" si="279"/>
        <v>1218986</v>
      </c>
      <c r="N251" s="78"/>
      <c r="O251" s="78">
        <f t="shared" si="280"/>
        <v>1218986</v>
      </c>
      <c r="P251" s="78"/>
      <c r="Q251" s="78">
        <f t="shared" si="281"/>
        <v>1218986</v>
      </c>
      <c r="R251" s="78"/>
      <c r="S251" s="78">
        <f t="shared" si="282"/>
        <v>1218986</v>
      </c>
      <c r="T251" s="78"/>
      <c r="U251" s="78">
        <f t="shared" si="283"/>
        <v>1218986</v>
      </c>
      <c r="V251" s="78"/>
      <c r="W251" s="78">
        <f t="shared" si="284"/>
        <v>1218986</v>
      </c>
      <c r="X251" s="78"/>
      <c r="Y251" s="78">
        <f t="shared" si="285"/>
        <v>1218986</v>
      </c>
      <c r="Z251" s="78"/>
      <c r="AA251" s="78">
        <f t="shared" si="286"/>
        <v>1218986</v>
      </c>
      <c r="AB251" s="78"/>
      <c r="AC251" s="78">
        <f t="shared" si="287"/>
        <v>1218986</v>
      </c>
      <c r="AD251" s="78"/>
      <c r="AE251" s="78">
        <f t="shared" si="288"/>
        <v>1218986</v>
      </c>
      <c r="AF251" s="78"/>
      <c r="AG251" s="78">
        <f t="shared" si="289"/>
        <v>1218986</v>
      </c>
      <c r="AH251" s="78"/>
      <c r="AI251" s="78">
        <f t="shared" si="290"/>
        <v>1218986</v>
      </c>
      <c r="AJ251" s="78">
        <f>13325-2892</f>
        <v>10433</v>
      </c>
      <c r="AK251" s="78">
        <f t="shared" si="291"/>
        <v>1229419</v>
      </c>
      <c r="AL251" s="78"/>
      <c r="AM251" s="78">
        <f t="shared" si="292"/>
        <v>1229419</v>
      </c>
      <c r="AN251" s="113"/>
      <c r="AO251" s="113"/>
      <c r="AP251" s="113"/>
    </row>
    <row r="252" spans="1:42" s="23" customFormat="1" ht="21" customHeight="1">
      <c r="A252" s="64"/>
      <c r="B252" s="79"/>
      <c r="C252" s="64">
        <v>4120</v>
      </c>
      <c r="D252" s="37" t="s">
        <v>86</v>
      </c>
      <c r="E252" s="78">
        <v>200869</v>
      </c>
      <c r="F252" s="78"/>
      <c r="G252" s="78">
        <f t="shared" si="276"/>
        <v>200869</v>
      </c>
      <c r="H252" s="78"/>
      <c r="I252" s="78">
        <f t="shared" si="277"/>
        <v>200869</v>
      </c>
      <c r="J252" s="78"/>
      <c r="K252" s="78">
        <f t="shared" si="278"/>
        <v>200869</v>
      </c>
      <c r="L252" s="78">
        <v>63</v>
      </c>
      <c r="M252" s="78">
        <f t="shared" si="279"/>
        <v>200932</v>
      </c>
      <c r="N252" s="78"/>
      <c r="O252" s="78">
        <f t="shared" si="280"/>
        <v>200932</v>
      </c>
      <c r="P252" s="78"/>
      <c r="Q252" s="78">
        <f t="shared" si="281"/>
        <v>200932</v>
      </c>
      <c r="R252" s="78"/>
      <c r="S252" s="78">
        <f t="shared" si="282"/>
        <v>200932</v>
      </c>
      <c r="T252" s="78"/>
      <c r="U252" s="78">
        <f t="shared" si="283"/>
        <v>200932</v>
      </c>
      <c r="V252" s="78"/>
      <c r="W252" s="78">
        <f t="shared" si="284"/>
        <v>200932</v>
      </c>
      <c r="X252" s="78"/>
      <c r="Y252" s="78">
        <f t="shared" si="285"/>
        <v>200932</v>
      </c>
      <c r="Z252" s="78"/>
      <c r="AA252" s="78">
        <f t="shared" si="286"/>
        <v>200932</v>
      </c>
      <c r="AB252" s="78"/>
      <c r="AC252" s="78">
        <f t="shared" si="287"/>
        <v>200932</v>
      </c>
      <c r="AD252" s="78"/>
      <c r="AE252" s="78">
        <f t="shared" si="288"/>
        <v>200932</v>
      </c>
      <c r="AF252" s="78"/>
      <c r="AG252" s="78">
        <f t="shared" si="289"/>
        <v>200932</v>
      </c>
      <c r="AH252" s="78"/>
      <c r="AI252" s="78">
        <f t="shared" si="290"/>
        <v>200932</v>
      </c>
      <c r="AJ252" s="78">
        <v>-8675</v>
      </c>
      <c r="AK252" s="78">
        <f t="shared" si="291"/>
        <v>192257</v>
      </c>
      <c r="AL252" s="78"/>
      <c r="AM252" s="78">
        <f t="shared" si="292"/>
        <v>192257</v>
      </c>
      <c r="AN252" s="113"/>
      <c r="AO252" s="113"/>
      <c r="AP252" s="113"/>
    </row>
    <row r="253" spans="1:42" s="23" customFormat="1" ht="21" customHeight="1">
      <c r="A253" s="64"/>
      <c r="B253" s="79"/>
      <c r="C253" s="64">
        <v>4170</v>
      </c>
      <c r="D253" s="37" t="s">
        <v>189</v>
      </c>
      <c r="E253" s="78">
        <v>22100</v>
      </c>
      <c r="F253" s="78"/>
      <c r="G253" s="78">
        <f t="shared" si="276"/>
        <v>22100</v>
      </c>
      <c r="H253" s="78"/>
      <c r="I253" s="78">
        <f t="shared" si="277"/>
        <v>22100</v>
      </c>
      <c r="J253" s="78"/>
      <c r="K253" s="78">
        <f t="shared" si="278"/>
        <v>22100</v>
      </c>
      <c r="L253" s="78">
        <v>3500</v>
      </c>
      <c r="M253" s="78">
        <f t="shared" si="279"/>
        <v>25600</v>
      </c>
      <c r="N253" s="78"/>
      <c r="O253" s="78">
        <f t="shared" si="280"/>
        <v>25600</v>
      </c>
      <c r="P253" s="78"/>
      <c r="Q253" s="78">
        <f t="shared" si="281"/>
        <v>25600</v>
      </c>
      <c r="R253" s="78"/>
      <c r="S253" s="78">
        <f t="shared" si="282"/>
        <v>25600</v>
      </c>
      <c r="T253" s="78"/>
      <c r="U253" s="78">
        <f t="shared" si="283"/>
        <v>25600</v>
      </c>
      <c r="V253" s="78"/>
      <c r="W253" s="78">
        <f t="shared" si="284"/>
        <v>25600</v>
      </c>
      <c r="X253" s="78"/>
      <c r="Y253" s="78">
        <f t="shared" si="285"/>
        <v>25600</v>
      </c>
      <c r="Z253" s="78"/>
      <c r="AA253" s="78">
        <f t="shared" si="286"/>
        <v>25600</v>
      </c>
      <c r="AB253" s="78"/>
      <c r="AC253" s="78">
        <f t="shared" si="287"/>
        <v>25600</v>
      </c>
      <c r="AD253" s="78"/>
      <c r="AE253" s="78">
        <f t="shared" si="288"/>
        <v>25600</v>
      </c>
      <c r="AF253" s="78"/>
      <c r="AG253" s="78">
        <f t="shared" si="289"/>
        <v>25600</v>
      </c>
      <c r="AH253" s="78"/>
      <c r="AI253" s="78">
        <f t="shared" si="290"/>
        <v>25600</v>
      </c>
      <c r="AJ253" s="78">
        <v>1224</v>
      </c>
      <c r="AK253" s="78">
        <f t="shared" si="291"/>
        <v>26824</v>
      </c>
      <c r="AL253" s="78"/>
      <c r="AM253" s="78">
        <f t="shared" si="292"/>
        <v>26824</v>
      </c>
      <c r="AN253" s="113"/>
      <c r="AO253" s="113"/>
      <c r="AP253" s="113"/>
    </row>
    <row r="254" spans="1:39" s="23" customFormat="1" ht="21" customHeight="1">
      <c r="A254" s="64"/>
      <c r="B254" s="79"/>
      <c r="C254" s="64">
        <v>4210</v>
      </c>
      <c r="D254" s="37" t="s">
        <v>91</v>
      </c>
      <c r="E254" s="78">
        <f>380104+1968</f>
        <v>382072</v>
      </c>
      <c r="F254" s="78"/>
      <c r="G254" s="78">
        <f t="shared" si="276"/>
        <v>382072</v>
      </c>
      <c r="H254" s="78"/>
      <c r="I254" s="78">
        <f t="shared" si="277"/>
        <v>382072</v>
      </c>
      <c r="J254" s="78"/>
      <c r="K254" s="78">
        <f t="shared" si="278"/>
        <v>382072</v>
      </c>
      <c r="L254" s="78">
        <f>300+500+500+1360</f>
        <v>2660</v>
      </c>
      <c r="M254" s="78">
        <f t="shared" si="279"/>
        <v>384732</v>
      </c>
      <c r="N254" s="78"/>
      <c r="O254" s="78">
        <f t="shared" si="280"/>
        <v>384732</v>
      </c>
      <c r="P254" s="78"/>
      <c r="Q254" s="78">
        <f t="shared" si="281"/>
        <v>384732</v>
      </c>
      <c r="R254" s="78"/>
      <c r="S254" s="78">
        <f t="shared" si="282"/>
        <v>384732</v>
      </c>
      <c r="T254" s="78">
        <v>-10800</v>
      </c>
      <c r="U254" s="78">
        <f t="shared" si="283"/>
        <v>373932</v>
      </c>
      <c r="V254" s="78"/>
      <c r="W254" s="78">
        <f t="shared" si="284"/>
        <v>373932</v>
      </c>
      <c r="X254" s="78"/>
      <c r="Y254" s="78">
        <f t="shared" si="285"/>
        <v>373932</v>
      </c>
      <c r="Z254" s="78"/>
      <c r="AA254" s="78">
        <f t="shared" si="286"/>
        <v>373932</v>
      </c>
      <c r="AB254" s="78"/>
      <c r="AC254" s="78">
        <f t="shared" si="287"/>
        <v>373932</v>
      </c>
      <c r="AD254" s="78">
        <v>652</v>
      </c>
      <c r="AE254" s="78">
        <f t="shared" si="288"/>
        <v>374584</v>
      </c>
      <c r="AF254" s="78"/>
      <c r="AG254" s="78">
        <f t="shared" si="289"/>
        <v>374584</v>
      </c>
      <c r="AH254" s="78"/>
      <c r="AI254" s="78">
        <f t="shared" si="290"/>
        <v>374584</v>
      </c>
      <c r="AJ254" s="78">
        <f>35737-5451+600</f>
        <v>30886</v>
      </c>
      <c r="AK254" s="78">
        <f t="shared" si="291"/>
        <v>405470</v>
      </c>
      <c r="AL254" s="78"/>
      <c r="AM254" s="78">
        <f t="shared" si="292"/>
        <v>405470</v>
      </c>
    </row>
    <row r="255" spans="1:39" s="23" customFormat="1" ht="27" customHeight="1">
      <c r="A255" s="64"/>
      <c r="B255" s="79"/>
      <c r="C255" s="83">
        <v>4230</v>
      </c>
      <c r="D255" s="37" t="s">
        <v>232</v>
      </c>
      <c r="E255" s="78">
        <v>2150</v>
      </c>
      <c r="F255" s="78"/>
      <c r="G255" s="78">
        <f t="shared" si="276"/>
        <v>2150</v>
      </c>
      <c r="H255" s="78"/>
      <c r="I255" s="78">
        <f t="shared" si="277"/>
        <v>2150</v>
      </c>
      <c r="J255" s="78"/>
      <c r="K255" s="78">
        <f t="shared" si="278"/>
        <v>2150</v>
      </c>
      <c r="L255" s="78"/>
      <c r="M255" s="78">
        <f t="shared" si="279"/>
        <v>2150</v>
      </c>
      <c r="N255" s="78"/>
      <c r="O255" s="78">
        <f t="shared" si="280"/>
        <v>2150</v>
      </c>
      <c r="P255" s="78"/>
      <c r="Q255" s="78">
        <f t="shared" si="281"/>
        <v>2150</v>
      </c>
      <c r="R255" s="78"/>
      <c r="S255" s="78">
        <f t="shared" si="282"/>
        <v>2150</v>
      </c>
      <c r="T255" s="78"/>
      <c r="U255" s="78">
        <f t="shared" si="283"/>
        <v>2150</v>
      </c>
      <c r="V255" s="78"/>
      <c r="W255" s="78">
        <f t="shared" si="284"/>
        <v>2150</v>
      </c>
      <c r="X255" s="78"/>
      <c r="Y255" s="78">
        <f t="shared" si="285"/>
        <v>2150</v>
      </c>
      <c r="Z255" s="78"/>
      <c r="AA255" s="78">
        <f t="shared" si="286"/>
        <v>2150</v>
      </c>
      <c r="AB255" s="78"/>
      <c r="AC255" s="78">
        <f t="shared" si="287"/>
        <v>2150</v>
      </c>
      <c r="AD255" s="78"/>
      <c r="AE255" s="78">
        <f t="shared" si="288"/>
        <v>2150</v>
      </c>
      <c r="AF255" s="78"/>
      <c r="AG255" s="78">
        <f t="shared" si="289"/>
        <v>2150</v>
      </c>
      <c r="AH255" s="78"/>
      <c r="AI255" s="78">
        <f t="shared" si="290"/>
        <v>2150</v>
      </c>
      <c r="AJ255" s="78">
        <v>-100</v>
      </c>
      <c r="AK255" s="78">
        <f t="shared" si="291"/>
        <v>2050</v>
      </c>
      <c r="AL255" s="78"/>
      <c r="AM255" s="78">
        <f t="shared" si="292"/>
        <v>2050</v>
      </c>
    </row>
    <row r="256" spans="1:39" s="23" customFormat="1" ht="22.5">
      <c r="A256" s="64"/>
      <c r="B256" s="79"/>
      <c r="C256" s="83">
        <v>4240</v>
      </c>
      <c r="D256" s="37" t="s">
        <v>122</v>
      </c>
      <c r="E256" s="78">
        <f>40550+3400</f>
        <v>43950</v>
      </c>
      <c r="F256" s="78"/>
      <c r="G256" s="78">
        <f t="shared" si="276"/>
        <v>43950</v>
      </c>
      <c r="H256" s="78"/>
      <c r="I256" s="78">
        <f t="shared" si="277"/>
        <v>43950</v>
      </c>
      <c r="J256" s="78"/>
      <c r="K256" s="78">
        <f t="shared" si="278"/>
        <v>43950</v>
      </c>
      <c r="L256" s="78">
        <v>600</v>
      </c>
      <c r="M256" s="78">
        <f t="shared" si="279"/>
        <v>44550</v>
      </c>
      <c r="N256" s="78"/>
      <c r="O256" s="78">
        <f t="shared" si="280"/>
        <v>44550</v>
      </c>
      <c r="P256" s="78">
        <f>6000+5966</f>
        <v>11966</v>
      </c>
      <c r="Q256" s="78">
        <f t="shared" si="281"/>
        <v>56516</v>
      </c>
      <c r="R256" s="78">
        <v>1337</v>
      </c>
      <c r="S256" s="78">
        <f t="shared" si="282"/>
        <v>57853</v>
      </c>
      <c r="T256" s="78"/>
      <c r="U256" s="78">
        <f t="shared" si="283"/>
        <v>57853</v>
      </c>
      <c r="V256" s="78"/>
      <c r="W256" s="78">
        <f t="shared" si="284"/>
        <v>57853</v>
      </c>
      <c r="X256" s="78"/>
      <c r="Y256" s="78">
        <f t="shared" si="285"/>
        <v>57853</v>
      </c>
      <c r="Z256" s="78"/>
      <c r="AA256" s="78">
        <f t="shared" si="286"/>
        <v>57853</v>
      </c>
      <c r="AB256" s="78"/>
      <c r="AC256" s="78">
        <f t="shared" si="287"/>
        <v>57853</v>
      </c>
      <c r="AD256" s="78">
        <v>4500</v>
      </c>
      <c r="AE256" s="78">
        <f t="shared" si="288"/>
        <v>62353</v>
      </c>
      <c r="AF256" s="78"/>
      <c r="AG256" s="78">
        <f t="shared" si="289"/>
        <v>62353</v>
      </c>
      <c r="AH256" s="78"/>
      <c r="AI256" s="78">
        <f t="shared" si="290"/>
        <v>62353</v>
      </c>
      <c r="AJ256" s="78">
        <f>15483-3325</f>
        <v>12158</v>
      </c>
      <c r="AK256" s="78">
        <f t="shared" si="291"/>
        <v>74511</v>
      </c>
      <c r="AL256" s="78"/>
      <c r="AM256" s="78">
        <f t="shared" si="292"/>
        <v>74511</v>
      </c>
    </row>
    <row r="257" spans="1:39" s="23" customFormat="1" ht="21" customHeight="1">
      <c r="A257" s="64"/>
      <c r="B257" s="79"/>
      <c r="C257" s="64">
        <v>4260</v>
      </c>
      <c r="D257" s="37" t="s">
        <v>94</v>
      </c>
      <c r="E257" s="78">
        <v>566857</v>
      </c>
      <c r="F257" s="78"/>
      <c r="G257" s="78">
        <f t="shared" si="276"/>
        <v>566857</v>
      </c>
      <c r="H257" s="78"/>
      <c r="I257" s="78">
        <f t="shared" si="277"/>
        <v>566857</v>
      </c>
      <c r="J257" s="78"/>
      <c r="K257" s="78">
        <f t="shared" si="278"/>
        <v>566857</v>
      </c>
      <c r="L257" s="78"/>
      <c r="M257" s="78">
        <f t="shared" si="279"/>
        <v>566857</v>
      </c>
      <c r="N257" s="78"/>
      <c r="O257" s="78">
        <f t="shared" si="280"/>
        <v>566857</v>
      </c>
      <c r="P257" s="78"/>
      <c r="Q257" s="78">
        <f t="shared" si="281"/>
        <v>566857</v>
      </c>
      <c r="R257" s="78"/>
      <c r="S257" s="78">
        <f t="shared" si="282"/>
        <v>566857</v>
      </c>
      <c r="T257" s="78"/>
      <c r="U257" s="78">
        <f t="shared" si="283"/>
        <v>566857</v>
      </c>
      <c r="V257" s="78"/>
      <c r="W257" s="78">
        <f t="shared" si="284"/>
        <v>566857</v>
      </c>
      <c r="X257" s="78"/>
      <c r="Y257" s="78">
        <f t="shared" si="285"/>
        <v>566857</v>
      </c>
      <c r="Z257" s="78"/>
      <c r="AA257" s="78">
        <f t="shared" si="286"/>
        <v>566857</v>
      </c>
      <c r="AB257" s="78"/>
      <c r="AC257" s="78">
        <f t="shared" si="287"/>
        <v>566857</v>
      </c>
      <c r="AD257" s="78"/>
      <c r="AE257" s="78">
        <f t="shared" si="288"/>
        <v>566857</v>
      </c>
      <c r="AF257" s="78"/>
      <c r="AG257" s="78">
        <f t="shared" si="289"/>
        <v>566857</v>
      </c>
      <c r="AH257" s="78"/>
      <c r="AI257" s="78">
        <f t="shared" si="290"/>
        <v>566857</v>
      </c>
      <c r="AJ257" s="78">
        <f>11911-22837</f>
        <v>-10926</v>
      </c>
      <c r="AK257" s="78">
        <f t="shared" si="291"/>
        <v>555931</v>
      </c>
      <c r="AL257" s="78"/>
      <c r="AM257" s="78">
        <f t="shared" si="292"/>
        <v>555931</v>
      </c>
    </row>
    <row r="258" spans="1:39" s="23" customFormat="1" ht="21" customHeight="1">
      <c r="A258" s="64"/>
      <c r="B258" s="79"/>
      <c r="C258" s="64">
        <v>4270</v>
      </c>
      <c r="D258" s="37" t="s">
        <v>77</v>
      </c>
      <c r="E258" s="78">
        <f>110721+150000</f>
        <v>260721</v>
      </c>
      <c r="F258" s="78"/>
      <c r="G258" s="78">
        <f t="shared" si="276"/>
        <v>260721</v>
      </c>
      <c r="H258" s="78"/>
      <c r="I258" s="78">
        <f t="shared" si="277"/>
        <v>260721</v>
      </c>
      <c r="J258" s="78"/>
      <c r="K258" s="78">
        <f t="shared" si="278"/>
        <v>260721</v>
      </c>
      <c r="L258" s="78">
        <v>-3500</v>
      </c>
      <c r="M258" s="78">
        <f t="shared" si="279"/>
        <v>257221</v>
      </c>
      <c r="N258" s="78"/>
      <c r="O258" s="78">
        <f t="shared" si="280"/>
        <v>257221</v>
      </c>
      <c r="P258" s="78"/>
      <c r="Q258" s="78">
        <f t="shared" si="281"/>
        <v>257221</v>
      </c>
      <c r="R258" s="78">
        <f>2641+37943</f>
        <v>40584</v>
      </c>
      <c r="S258" s="78">
        <f t="shared" si="282"/>
        <v>297805</v>
      </c>
      <c r="T258" s="78">
        <v>10800</v>
      </c>
      <c r="U258" s="78">
        <f t="shared" si="283"/>
        <v>308605</v>
      </c>
      <c r="V258" s="78"/>
      <c r="W258" s="78">
        <f t="shared" si="284"/>
        <v>308605</v>
      </c>
      <c r="X258" s="78"/>
      <c r="Y258" s="78">
        <f t="shared" si="285"/>
        <v>308605</v>
      </c>
      <c r="Z258" s="78"/>
      <c r="AA258" s="78">
        <f t="shared" si="286"/>
        <v>308605</v>
      </c>
      <c r="AB258" s="78"/>
      <c r="AC258" s="78">
        <f t="shared" si="287"/>
        <v>308605</v>
      </c>
      <c r="AD258" s="78">
        <f>22000+7341</f>
        <v>29341</v>
      </c>
      <c r="AE258" s="78">
        <f t="shared" si="288"/>
        <v>337946</v>
      </c>
      <c r="AF258" s="78"/>
      <c r="AG258" s="78">
        <f t="shared" si="289"/>
        <v>337946</v>
      </c>
      <c r="AH258" s="78"/>
      <c r="AI258" s="78">
        <f t="shared" si="290"/>
        <v>337946</v>
      </c>
      <c r="AJ258" s="78">
        <f>8017-9628</f>
        <v>-1611</v>
      </c>
      <c r="AK258" s="78">
        <f t="shared" si="291"/>
        <v>336335</v>
      </c>
      <c r="AL258" s="78"/>
      <c r="AM258" s="78">
        <f t="shared" si="292"/>
        <v>336335</v>
      </c>
    </row>
    <row r="259" spans="1:39" s="23" customFormat="1" ht="21" customHeight="1">
      <c r="A259" s="64"/>
      <c r="B259" s="79"/>
      <c r="C259" s="64">
        <v>4280</v>
      </c>
      <c r="D259" s="37" t="s">
        <v>196</v>
      </c>
      <c r="E259" s="78">
        <v>19800</v>
      </c>
      <c r="F259" s="78"/>
      <c r="G259" s="78">
        <f t="shared" si="276"/>
        <v>19800</v>
      </c>
      <c r="H259" s="78"/>
      <c r="I259" s="78">
        <f t="shared" si="277"/>
        <v>19800</v>
      </c>
      <c r="J259" s="78"/>
      <c r="K259" s="78">
        <f t="shared" si="278"/>
        <v>19800</v>
      </c>
      <c r="L259" s="78"/>
      <c r="M259" s="78">
        <f t="shared" si="279"/>
        <v>19800</v>
      </c>
      <c r="N259" s="78"/>
      <c r="O259" s="78">
        <f t="shared" si="280"/>
        <v>19800</v>
      </c>
      <c r="P259" s="78"/>
      <c r="Q259" s="78">
        <f t="shared" si="281"/>
        <v>19800</v>
      </c>
      <c r="R259" s="78"/>
      <c r="S259" s="78">
        <f t="shared" si="282"/>
        <v>19800</v>
      </c>
      <c r="T259" s="78"/>
      <c r="U259" s="78">
        <f t="shared" si="283"/>
        <v>19800</v>
      </c>
      <c r="V259" s="78"/>
      <c r="W259" s="78">
        <f t="shared" si="284"/>
        <v>19800</v>
      </c>
      <c r="X259" s="78"/>
      <c r="Y259" s="78">
        <f t="shared" si="285"/>
        <v>19800</v>
      </c>
      <c r="Z259" s="78"/>
      <c r="AA259" s="78">
        <f t="shared" si="286"/>
        <v>19800</v>
      </c>
      <c r="AB259" s="78"/>
      <c r="AC259" s="78">
        <f t="shared" si="287"/>
        <v>19800</v>
      </c>
      <c r="AD259" s="78"/>
      <c r="AE259" s="78">
        <f t="shared" si="288"/>
        <v>19800</v>
      </c>
      <c r="AF259" s="78"/>
      <c r="AG259" s="78">
        <f t="shared" si="289"/>
        <v>19800</v>
      </c>
      <c r="AH259" s="78"/>
      <c r="AI259" s="78">
        <f t="shared" si="290"/>
        <v>19800</v>
      </c>
      <c r="AJ259" s="78">
        <v>-5593</v>
      </c>
      <c r="AK259" s="78">
        <f t="shared" si="291"/>
        <v>14207</v>
      </c>
      <c r="AL259" s="78"/>
      <c r="AM259" s="78">
        <f t="shared" si="292"/>
        <v>14207</v>
      </c>
    </row>
    <row r="260" spans="1:39" s="23" customFormat="1" ht="21" customHeight="1">
      <c r="A260" s="64"/>
      <c r="B260" s="79"/>
      <c r="C260" s="64">
        <v>4300</v>
      </c>
      <c r="D260" s="37" t="s">
        <v>78</v>
      </c>
      <c r="E260" s="78">
        <v>114715</v>
      </c>
      <c r="F260" s="78"/>
      <c r="G260" s="78">
        <f t="shared" si="276"/>
        <v>114715</v>
      </c>
      <c r="H260" s="78"/>
      <c r="I260" s="78">
        <f t="shared" si="277"/>
        <v>114715</v>
      </c>
      <c r="J260" s="78"/>
      <c r="K260" s="78">
        <f t="shared" si="278"/>
        <v>114715</v>
      </c>
      <c r="L260" s="78">
        <v>3500</v>
      </c>
      <c r="M260" s="78">
        <f t="shared" si="279"/>
        <v>118215</v>
      </c>
      <c r="N260" s="78">
        <v>19000</v>
      </c>
      <c r="O260" s="78">
        <f t="shared" si="280"/>
        <v>137215</v>
      </c>
      <c r="P260" s="78"/>
      <c r="Q260" s="78">
        <f t="shared" si="281"/>
        <v>137215</v>
      </c>
      <c r="R260" s="78">
        <v>310</v>
      </c>
      <c r="S260" s="78">
        <f t="shared" si="282"/>
        <v>137525</v>
      </c>
      <c r="T260" s="78">
        <v>8000</v>
      </c>
      <c r="U260" s="78">
        <f t="shared" si="283"/>
        <v>145525</v>
      </c>
      <c r="V260" s="78"/>
      <c r="W260" s="78">
        <f t="shared" si="284"/>
        <v>145525</v>
      </c>
      <c r="X260" s="78"/>
      <c r="Y260" s="78">
        <f t="shared" si="285"/>
        <v>145525</v>
      </c>
      <c r="Z260" s="78"/>
      <c r="AA260" s="78">
        <f t="shared" si="286"/>
        <v>145525</v>
      </c>
      <c r="AB260" s="78"/>
      <c r="AC260" s="78">
        <f t="shared" si="287"/>
        <v>145525</v>
      </c>
      <c r="AD260" s="78">
        <f>39330+4034</f>
        <v>43364</v>
      </c>
      <c r="AE260" s="78">
        <f t="shared" si="288"/>
        <v>188889</v>
      </c>
      <c r="AF260" s="78"/>
      <c r="AG260" s="78">
        <f t="shared" si="289"/>
        <v>188889</v>
      </c>
      <c r="AH260" s="78"/>
      <c r="AI260" s="78">
        <f t="shared" si="290"/>
        <v>188889</v>
      </c>
      <c r="AJ260" s="78">
        <f>22795-4568+800</f>
        <v>19027</v>
      </c>
      <c r="AK260" s="78">
        <f t="shared" si="291"/>
        <v>207916</v>
      </c>
      <c r="AL260" s="78"/>
      <c r="AM260" s="78">
        <f t="shared" si="292"/>
        <v>207916</v>
      </c>
    </row>
    <row r="261" spans="1:39" s="23" customFormat="1" ht="21" customHeight="1">
      <c r="A261" s="64"/>
      <c r="B261" s="79"/>
      <c r="C261" s="64">
        <v>4350</v>
      </c>
      <c r="D261" s="37" t="s">
        <v>203</v>
      </c>
      <c r="E261" s="78">
        <v>8711</v>
      </c>
      <c r="F261" s="78"/>
      <c r="G261" s="78">
        <f t="shared" si="276"/>
        <v>8711</v>
      </c>
      <c r="H261" s="78"/>
      <c r="I261" s="78">
        <f t="shared" si="277"/>
        <v>8711</v>
      </c>
      <c r="J261" s="78"/>
      <c r="K261" s="78">
        <f t="shared" si="278"/>
        <v>8711</v>
      </c>
      <c r="L261" s="78"/>
      <c r="M261" s="78">
        <f t="shared" si="279"/>
        <v>8711</v>
      </c>
      <c r="N261" s="78"/>
      <c r="O261" s="78">
        <f t="shared" si="280"/>
        <v>8711</v>
      </c>
      <c r="P261" s="78"/>
      <c r="Q261" s="78">
        <f t="shared" si="281"/>
        <v>8711</v>
      </c>
      <c r="R261" s="78"/>
      <c r="S261" s="78">
        <f t="shared" si="282"/>
        <v>8711</v>
      </c>
      <c r="T261" s="78"/>
      <c r="U261" s="78">
        <f t="shared" si="283"/>
        <v>8711</v>
      </c>
      <c r="V261" s="78"/>
      <c r="W261" s="78">
        <f t="shared" si="284"/>
        <v>8711</v>
      </c>
      <c r="X261" s="78"/>
      <c r="Y261" s="78">
        <f t="shared" si="285"/>
        <v>8711</v>
      </c>
      <c r="Z261" s="78"/>
      <c r="AA261" s="78">
        <f t="shared" si="286"/>
        <v>8711</v>
      </c>
      <c r="AB261" s="78"/>
      <c r="AC261" s="78">
        <f t="shared" si="287"/>
        <v>8711</v>
      </c>
      <c r="AD261" s="78"/>
      <c r="AE261" s="78">
        <f t="shared" si="288"/>
        <v>8711</v>
      </c>
      <c r="AF261" s="78"/>
      <c r="AG261" s="78">
        <f t="shared" si="289"/>
        <v>8711</v>
      </c>
      <c r="AH261" s="78"/>
      <c r="AI261" s="78">
        <f t="shared" si="290"/>
        <v>8711</v>
      </c>
      <c r="AJ261" s="78">
        <v>-3019</v>
      </c>
      <c r="AK261" s="78">
        <f t="shared" si="291"/>
        <v>5692</v>
      </c>
      <c r="AL261" s="78"/>
      <c r="AM261" s="78">
        <f t="shared" si="292"/>
        <v>5692</v>
      </c>
    </row>
    <row r="262" spans="1:39" s="23" customFormat="1" ht="33.75">
      <c r="A262" s="64"/>
      <c r="B262" s="79"/>
      <c r="C262" s="64">
        <v>4360</v>
      </c>
      <c r="D262" s="37" t="s">
        <v>363</v>
      </c>
      <c r="E262" s="78">
        <v>500</v>
      </c>
      <c r="F262" s="78"/>
      <c r="G262" s="78">
        <f>SUM(E262:F262)</f>
        <v>500</v>
      </c>
      <c r="H262" s="78"/>
      <c r="I262" s="78">
        <f t="shared" si="277"/>
        <v>500</v>
      </c>
      <c r="J262" s="78"/>
      <c r="K262" s="78">
        <f t="shared" si="278"/>
        <v>500</v>
      </c>
      <c r="L262" s="78"/>
      <c r="M262" s="78">
        <f t="shared" si="279"/>
        <v>500</v>
      </c>
      <c r="N262" s="78"/>
      <c r="O262" s="78">
        <f t="shared" si="280"/>
        <v>500</v>
      </c>
      <c r="P262" s="78"/>
      <c r="Q262" s="78">
        <f t="shared" si="281"/>
        <v>500</v>
      </c>
      <c r="R262" s="78"/>
      <c r="S262" s="78">
        <f t="shared" si="282"/>
        <v>500</v>
      </c>
      <c r="T262" s="78"/>
      <c r="U262" s="78">
        <f t="shared" si="283"/>
        <v>500</v>
      </c>
      <c r="V262" s="78"/>
      <c r="W262" s="78">
        <f t="shared" si="284"/>
        <v>500</v>
      </c>
      <c r="X262" s="78"/>
      <c r="Y262" s="78">
        <f t="shared" si="285"/>
        <v>500</v>
      </c>
      <c r="Z262" s="78"/>
      <c r="AA262" s="78">
        <f t="shared" si="286"/>
        <v>500</v>
      </c>
      <c r="AB262" s="78"/>
      <c r="AC262" s="78">
        <f t="shared" si="287"/>
        <v>500</v>
      </c>
      <c r="AD262" s="78"/>
      <c r="AE262" s="78">
        <f t="shared" si="288"/>
        <v>500</v>
      </c>
      <c r="AF262" s="78"/>
      <c r="AG262" s="78">
        <f t="shared" si="289"/>
        <v>500</v>
      </c>
      <c r="AH262" s="78"/>
      <c r="AI262" s="78">
        <f t="shared" si="290"/>
        <v>500</v>
      </c>
      <c r="AJ262" s="78"/>
      <c r="AK262" s="78">
        <f t="shared" si="291"/>
        <v>500</v>
      </c>
      <c r="AL262" s="78"/>
      <c r="AM262" s="78">
        <f t="shared" si="292"/>
        <v>500</v>
      </c>
    </row>
    <row r="263" spans="1:39" s="23" customFormat="1" ht="45">
      <c r="A263" s="64"/>
      <c r="B263" s="79"/>
      <c r="C263" s="64">
        <v>4370</v>
      </c>
      <c r="D263" s="37" t="s">
        <v>362</v>
      </c>
      <c r="E263" s="78">
        <v>17500</v>
      </c>
      <c r="F263" s="78"/>
      <c r="G263" s="78">
        <f t="shared" si="276"/>
        <v>17500</v>
      </c>
      <c r="H263" s="78"/>
      <c r="I263" s="78">
        <f t="shared" si="277"/>
        <v>17500</v>
      </c>
      <c r="J263" s="78"/>
      <c r="K263" s="78">
        <f t="shared" si="278"/>
        <v>17500</v>
      </c>
      <c r="L263" s="78"/>
      <c r="M263" s="78">
        <f t="shared" si="279"/>
        <v>17500</v>
      </c>
      <c r="N263" s="78"/>
      <c r="O263" s="78">
        <f t="shared" si="280"/>
        <v>17500</v>
      </c>
      <c r="P263" s="78"/>
      <c r="Q263" s="78">
        <f t="shared" si="281"/>
        <v>17500</v>
      </c>
      <c r="R263" s="78"/>
      <c r="S263" s="78">
        <f t="shared" si="282"/>
        <v>17500</v>
      </c>
      <c r="T263" s="78"/>
      <c r="U263" s="78">
        <f t="shared" si="283"/>
        <v>17500</v>
      </c>
      <c r="V263" s="78"/>
      <c r="W263" s="78">
        <f t="shared" si="284"/>
        <v>17500</v>
      </c>
      <c r="X263" s="78"/>
      <c r="Y263" s="78">
        <f t="shared" si="285"/>
        <v>17500</v>
      </c>
      <c r="Z263" s="78"/>
      <c r="AA263" s="78">
        <f t="shared" si="286"/>
        <v>17500</v>
      </c>
      <c r="AB263" s="78"/>
      <c r="AC263" s="78">
        <f t="shared" si="287"/>
        <v>17500</v>
      </c>
      <c r="AD263" s="78">
        <v>-430</v>
      </c>
      <c r="AE263" s="78">
        <f t="shared" si="288"/>
        <v>17070</v>
      </c>
      <c r="AF263" s="78"/>
      <c r="AG263" s="78">
        <f t="shared" si="289"/>
        <v>17070</v>
      </c>
      <c r="AH263" s="78"/>
      <c r="AI263" s="78">
        <f t="shared" si="290"/>
        <v>17070</v>
      </c>
      <c r="AJ263" s="78">
        <v>-2650</v>
      </c>
      <c r="AK263" s="78">
        <f t="shared" si="291"/>
        <v>14420</v>
      </c>
      <c r="AL263" s="78"/>
      <c r="AM263" s="78">
        <f t="shared" si="292"/>
        <v>14420</v>
      </c>
    </row>
    <row r="264" spans="1:39" s="23" customFormat="1" ht="22.5">
      <c r="A264" s="64"/>
      <c r="B264" s="79"/>
      <c r="C264" s="64">
        <v>4390</v>
      </c>
      <c r="D264" s="37" t="s">
        <v>239</v>
      </c>
      <c r="E264" s="78">
        <v>4400</v>
      </c>
      <c r="F264" s="78"/>
      <c r="G264" s="78">
        <f t="shared" si="276"/>
        <v>4400</v>
      </c>
      <c r="H264" s="78"/>
      <c r="I264" s="78">
        <f t="shared" si="277"/>
        <v>4400</v>
      </c>
      <c r="J264" s="78"/>
      <c r="K264" s="78">
        <f t="shared" si="278"/>
        <v>4400</v>
      </c>
      <c r="L264" s="78"/>
      <c r="M264" s="78">
        <f t="shared" si="279"/>
        <v>4400</v>
      </c>
      <c r="N264" s="78"/>
      <c r="O264" s="78">
        <f t="shared" si="280"/>
        <v>4400</v>
      </c>
      <c r="P264" s="78"/>
      <c r="Q264" s="78">
        <f t="shared" si="281"/>
        <v>4400</v>
      </c>
      <c r="R264" s="78"/>
      <c r="S264" s="78">
        <f t="shared" si="282"/>
        <v>4400</v>
      </c>
      <c r="T264" s="78"/>
      <c r="U264" s="78">
        <f t="shared" si="283"/>
        <v>4400</v>
      </c>
      <c r="V264" s="78"/>
      <c r="W264" s="78">
        <f t="shared" si="284"/>
        <v>4400</v>
      </c>
      <c r="X264" s="78"/>
      <c r="Y264" s="78">
        <f t="shared" si="285"/>
        <v>4400</v>
      </c>
      <c r="Z264" s="78"/>
      <c r="AA264" s="78">
        <f t="shared" si="286"/>
        <v>4400</v>
      </c>
      <c r="AB264" s="78"/>
      <c r="AC264" s="78">
        <f t="shared" si="287"/>
        <v>4400</v>
      </c>
      <c r="AD264" s="78"/>
      <c r="AE264" s="78">
        <f t="shared" si="288"/>
        <v>4400</v>
      </c>
      <c r="AF264" s="78"/>
      <c r="AG264" s="78">
        <f t="shared" si="289"/>
        <v>4400</v>
      </c>
      <c r="AH264" s="78"/>
      <c r="AI264" s="78">
        <f t="shared" si="290"/>
        <v>4400</v>
      </c>
      <c r="AJ264" s="78">
        <f>-550-800</f>
        <v>-1350</v>
      </c>
      <c r="AK264" s="78">
        <f t="shared" si="291"/>
        <v>3050</v>
      </c>
      <c r="AL264" s="78"/>
      <c r="AM264" s="78">
        <f t="shared" si="292"/>
        <v>3050</v>
      </c>
    </row>
    <row r="265" spans="1:39" s="23" customFormat="1" ht="21" customHeight="1">
      <c r="A265" s="64"/>
      <c r="B265" s="79"/>
      <c r="C265" s="64">
        <v>4410</v>
      </c>
      <c r="D265" s="37" t="s">
        <v>89</v>
      </c>
      <c r="E265" s="78">
        <v>16080</v>
      </c>
      <c r="F265" s="78"/>
      <c r="G265" s="78">
        <f t="shared" si="276"/>
        <v>16080</v>
      </c>
      <c r="H265" s="78"/>
      <c r="I265" s="78">
        <f t="shared" si="277"/>
        <v>16080</v>
      </c>
      <c r="J265" s="78"/>
      <c r="K265" s="78">
        <f t="shared" si="278"/>
        <v>16080</v>
      </c>
      <c r="L265" s="78"/>
      <c r="M265" s="78">
        <f t="shared" si="279"/>
        <v>16080</v>
      </c>
      <c r="N265" s="78"/>
      <c r="O265" s="78">
        <f t="shared" si="280"/>
        <v>16080</v>
      </c>
      <c r="P265" s="78"/>
      <c r="Q265" s="78">
        <f t="shared" si="281"/>
        <v>16080</v>
      </c>
      <c r="R265" s="78"/>
      <c r="S265" s="78">
        <f t="shared" si="282"/>
        <v>16080</v>
      </c>
      <c r="T265" s="78">
        <v>2000</v>
      </c>
      <c r="U265" s="78">
        <f t="shared" si="283"/>
        <v>18080</v>
      </c>
      <c r="V265" s="78"/>
      <c r="W265" s="78">
        <f t="shared" si="284"/>
        <v>18080</v>
      </c>
      <c r="X265" s="78"/>
      <c r="Y265" s="78">
        <f t="shared" si="285"/>
        <v>18080</v>
      </c>
      <c r="Z265" s="78"/>
      <c r="AA265" s="78">
        <f t="shared" si="286"/>
        <v>18080</v>
      </c>
      <c r="AB265" s="78"/>
      <c r="AC265" s="78">
        <f t="shared" si="287"/>
        <v>18080</v>
      </c>
      <c r="AD265" s="78"/>
      <c r="AE265" s="78">
        <f t="shared" si="288"/>
        <v>18080</v>
      </c>
      <c r="AF265" s="78"/>
      <c r="AG265" s="78">
        <f t="shared" si="289"/>
        <v>18080</v>
      </c>
      <c r="AH265" s="78"/>
      <c r="AI265" s="78">
        <f t="shared" si="290"/>
        <v>18080</v>
      </c>
      <c r="AJ265" s="78">
        <v>1318</v>
      </c>
      <c r="AK265" s="78">
        <f t="shared" si="291"/>
        <v>19398</v>
      </c>
      <c r="AL265" s="78"/>
      <c r="AM265" s="78">
        <f t="shared" si="292"/>
        <v>19398</v>
      </c>
    </row>
    <row r="266" spans="1:39" s="23" customFormat="1" ht="21" customHeight="1">
      <c r="A266" s="64"/>
      <c r="B266" s="79"/>
      <c r="C266" s="64">
        <v>4420</v>
      </c>
      <c r="D266" s="37" t="s">
        <v>92</v>
      </c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>
        <v>0</v>
      </c>
      <c r="AJ266" s="78">
        <v>682</v>
      </c>
      <c r="AK266" s="78">
        <f t="shared" si="291"/>
        <v>682</v>
      </c>
      <c r="AL266" s="78"/>
      <c r="AM266" s="78">
        <f t="shared" si="292"/>
        <v>682</v>
      </c>
    </row>
    <row r="267" spans="1:39" s="23" customFormat="1" ht="21" customHeight="1">
      <c r="A267" s="64"/>
      <c r="B267" s="79"/>
      <c r="C267" s="67">
        <v>4430</v>
      </c>
      <c r="D267" s="37" t="s">
        <v>93</v>
      </c>
      <c r="E267" s="78">
        <v>14300</v>
      </c>
      <c r="F267" s="78"/>
      <c r="G267" s="78">
        <f t="shared" si="276"/>
        <v>14300</v>
      </c>
      <c r="H267" s="78"/>
      <c r="I267" s="78">
        <f t="shared" si="277"/>
        <v>14300</v>
      </c>
      <c r="J267" s="78"/>
      <c r="K267" s="78">
        <f t="shared" si="278"/>
        <v>14300</v>
      </c>
      <c r="L267" s="78"/>
      <c r="M267" s="78">
        <f t="shared" si="279"/>
        <v>14300</v>
      </c>
      <c r="N267" s="78"/>
      <c r="O267" s="78">
        <f t="shared" si="280"/>
        <v>14300</v>
      </c>
      <c r="P267" s="78"/>
      <c r="Q267" s="78">
        <f t="shared" si="281"/>
        <v>14300</v>
      </c>
      <c r="R267" s="78"/>
      <c r="S267" s="78">
        <f t="shared" si="282"/>
        <v>14300</v>
      </c>
      <c r="T267" s="78"/>
      <c r="U267" s="78">
        <f t="shared" si="283"/>
        <v>14300</v>
      </c>
      <c r="V267" s="78"/>
      <c r="W267" s="78">
        <f t="shared" si="284"/>
        <v>14300</v>
      </c>
      <c r="X267" s="78"/>
      <c r="Y267" s="78">
        <f t="shared" si="285"/>
        <v>14300</v>
      </c>
      <c r="Z267" s="78"/>
      <c r="AA267" s="78">
        <f t="shared" si="286"/>
        <v>14300</v>
      </c>
      <c r="AB267" s="78"/>
      <c r="AC267" s="78">
        <f t="shared" si="287"/>
        <v>14300</v>
      </c>
      <c r="AD267" s="78">
        <v>-800</v>
      </c>
      <c r="AE267" s="78">
        <f t="shared" si="288"/>
        <v>13500</v>
      </c>
      <c r="AF267" s="78"/>
      <c r="AG267" s="78">
        <f t="shared" si="289"/>
        <v>13500</v>
      </c>
      <c r="AH267" s="78"/>
      <c r="AI267" s="78">
        <f t="shared" si="290"/>
        <v>13500</v>
      </c>
      <c r="AJ267" s="78">
        <v>-2232</v>
      </c>
      <c r="AK267" s="78">
        <f t="shared" si="291"/>
        <v>11268</v>
      </c>
      <c r="AL267" s="78"/>
      <c r="AM267" s="78">
        <f t="shared" si="292"/>
        <v>11268</v>
      </c>
    </row>
    <row r="268" spans="1:39" s="23" customFormat="1" ht="21" customHeight="1">
      <c r="A268" s="64"/>
      <c r="B268" s="79"/>
      <c r="C268" s="67">
        <v>4440</v>
      </c>
      <c r="D268" s="37" t="s">
        <v>87</v>
      </c>
      <c r="E268" s="78">
        <v>440278</v>
      </c>
      <c r="F268" s="78"/>
      <c r="G268" s="78">
        <f t="shared" si="276"/>
        <v>440278</v>
      </c>
      <c r="H268" s="78"/>
      <c r="I268" s="78">
        <f t="shared" si="277"/>
        <v>440278</v>
      </c>
      <c r="J268" s="78"/>
      <c r="K268" s="78">
        <f t="shared" si="278"/>
        <v>440278</v>
      </c>
      <c r="L268" s="78"/>
      <c r="M268" s="78">
        <f t="shared" si="279"/>
        <v>440278</v>
      </c>
      <c r="N268" s="78"/>
      <c r="O268" s="78">
        <f t="shared" si="280"/>
        <v>440278</v>
      </c>
      <c r="P268" s="78"/>
      <c r="Q268" s="78">
        <f t="shared" si="281"/>
        <v>440278</v>
      </c>
      <c r="R268" s="78"/>
      <c r="S268" s="78">
        <f t="shared" si="282"/>
        <v>440278</v>
      </c>
      <c r="T268" s="78"/>
      <c r="U268" s="78">
        <f t="shared" si="283"/>
        <v>440278</v>
      </c>
      <c r="V268" s="78"/>
      <c r="W268" s="78">
        <f t="shared" si="284"/>
        <v>440278</v>
      </c>
      <c r="X268" s="78"/>
      <c r="Y268" s="78">
        <f t="shared" si="285"/>
        <v>440278</v>
      </c>
      <c r="Z268" s="78"/>
      <c r="AA268" s="78">
        <f t="shared" si="286"/>
        <v>440278</v>
      </c>
      <c r="AB268" s="78"/>
      <c r="AC268" s="78">
        <f t="shared" si="287"/>
        <v>440278</v>
      </c>
      <c r="AD268" s="78"/>
      <c r="AE268" s="78">
        <f t="shared" si="288"/>
        <v>440278</v>
      </c>
      <c r="AF268" s="78"/>
      <c r="AG268" s="78">
        <f t="shared" si="289"/>
        <v>440278</v>
      </c>
      <c r="AH268" s="78"/>
      <c r="AI268" s="78">
        <f t="shared" si="290"/>
        <v>440278</v>
      </c>
      <c r="AJ268" s="78"/>
      <c r="AK268" s="78">
        <f t="shared" si="291"/>
        <v>440278</v>
      </c>
      <c r="AL268" s="78"/>
      <c r="AM268" s="78">
        <f t="shared" si="292"/>
        <v>440278</v>
      </c>
    </row>
    <row r="269" spans="1:39" s="23" customFormat="1" ht="27.75" customHeight="1">
      <c r="A269" s="64"/>
      <c r="B269" s="79"/>
      <c r="C269" s="67">
        <v>4700</v>
      </c>
      <c r="D269" s="37" t="s">
        <v>234</v>
      </c>
      <c r="E269" s="78">
        <v>9000</v>
      </c>
      <c r="F269" s="78"/>
      <c r="G269" s="78">
        <f t="shared" si="276"/>
        <v>9000</v>
      </c>
      <c r="H269" s="78"/>
      <c r="I269" s="78">
        <f t="shared" si="277"/>
        <v>9000</v>
      </c>
      <c r="J269" s="78"/>
      <c r="K269" s="78">
        <f t="shared" si="278"/>
        <v>9000</v>
      </c>
      <c r="L269" s="78"/>
      <c r="M269" s="78">
        <f t="shared" si="279"/>
        <v>9000</v>
      </c>
      <c r="N269" s="78"/>
      <c r="O269" s="78">
        <f t="shared" si="280"/>
        <v>9000</v>
      </c>
      <c r="P269" s="78"/>
      <c r="Q269" s="78">
        <f t="shared" si="281"/>
        <v>9000</v>
      </c>
      <c r="R269" s="78"/>
      <c r="S269" s="78">
        <f t="shared" si="282"/>
        <v>9000</v>
      </c>
      <c r="T269" s="78"/>
      <c r="U269" s="78">
        <f t="shared" si="283"/>
        <v>9000</v>
      </c>
      <c r="V269" s="78"/>
      <c r="W269" s="78">
        <f t="shared" si="284"/>
        <v>9000</v>
      </c>
      <c r="X269" s="78"/>
      <c r="Y269" s="78">
        <f t="shared" si="285"/>
        <v>9000</v>
      </c>
      <c r="Z269" s="78"/>
      <c r="AA269" s="78">
        <f t="shared" si="286"/>
        <v>9000</v>
      </c>
      <c r="AB269" s="78"/>
      <c r="AC269" s="78">
        <f t="shared" si="287"/>
        <v>9000</v>
      </c>
      <c r="AD269" s="78">
        <v>-500</v>
      </c>
      <c r="AE269" s="78">
        <f t="shared" si="288"/>
        <v>8500</v>
      </c>
      <c r="AF269" s="78"/>
      <c r="AG269" s="78">
        <f t="shared" si="289"/>
        <v>8500</v>
      </c>
      <c r="AH269" s="78"/>
      <c r="AI269" s="78">
        <f t="shared" si="290"/>
        <v>8500</v>
      </c>
      <c r="AJ269" s="78">
        <f>-3520-600</f>
        <v>-4120</v>
      </c>
      <c r="AK269" s="78">
        <f t="shared" si="291"/>
        <v>4380</v>
      </c>
      <c r="AL269" s="78"/>
      <c r="AM269" s="78">
        <f t="shared" si="292"/>
        <v>4380</v>
      </c>
    </row>
    <row r="270" spans="1:39" s="23" customFormat="1" ht="33.75" customHeight="1">
      <c r="A270" s="64"/>
      <c r="B270" s="79"/>
      <c r="C270" s="67">
        <v>4740</v>
      </c>
      <c r="D270" s="37" t="s">
        <v>249</v>
      </c>
      <c r="E270" s="78">
        <v>6800</v>
      </c>
      <c r="F270" s="78"/>
      <c r="G270" s="78">
        <f t="shared" si="276"/>
        <v>6800</v>
      </c>
      <c r="H270" s="78"/>
      <c r="I270" s="78">
        <f t="shared" si="277"/>
        <v>6800</v>
      </c>
      <c r="J270" s="78"/>
      <c r="K270" s="78">
        <f t="shared" si="278"/>
        <v>6800</v>
      </c>
      <c r="L270" s="78"/>
      <c r="M270" s="78">
        <f t="shared" si="279"/>
        <v>6800</v>
      </c>
      <c r="N270" s="78"/>
      <c r="O270" s="78">
        <f t="shared" si="280"/>
        <v>6800</v>
      </c>
      <c r="P270" s="78"/>
      <c r="Q270" s="78">
        <f t="shared" si="281"/>
        <v>6800</v>
      </c>
      <c r="R270" s="78"/>
      <c r="S270" s="78">
        <f t="shared" si="282"/>
        <v>6800</v>
      </c>
      <c r="T270" s="78"/>
      <c r="U270" s="78">
        <f t="shared" si="283"/>
        <v>6800</v>
      </c>
      <c r="V270" s="78"/>
      <c r="W270" s="78">
        <f t="shared" si="284"/>
        <v>6800</v>
      </c>
      <c r="X270" s="78"/>
      <c r="Y270" s="78">
        <f t="shared" si="285"/>
        <v>6800</v>
      </c>
      <c r="Z270" s="78"/>
      <c r="AA270" s="78">
        <f t="shared" si="286"/>
        <v>6800</v>
      </c>
      <c r="AB270" s="78"/>
      <c r="AC270" s="78">
        <f t="shared" si="287"/>
        <v>6800</v>
      </c>
      <c r="AD270" s="78"/>
      <c r="AE270" s="78">
        <f t="shared" si="288"/>
        <v>6800</v>
      </c>
      <c r="AF270" s="78"/>
      <c r="AG270" s="78">
        <f t="shared" si="289"/>
        <v>6800</v>
      </c>
      <c r="AH270" s="78"/>
      <c r="AI270" s="78">
        <f t="shared" si="290"/>
        <v>6800</v>
      </c>
      <c r="AJ270" s="78">
        <v>-31</v>
      </c>
      <c r="AK270" s="78">
        <f t="shared" si="291"/>
        <v>6769</v>
      </c>
      <c r="AL270" s="78"/>
      <c r="AM270" s="78">
        <f t="shared" si="292"/>
        <v>6769</v>
      </c>
    </row>
    <row r="271" spans="1:39" s="23" customFormat="1" ht="27" customHeight="1">
      <c r="A271" s="64"/>
      <c r="B271" s="79"/>
      <c r="C271" s="67">
        <v>4750</v>
      </c>
      <c r="D271" s="12" t="s">
        <v>222</v>
      </c>
      <c r="E271" s="78">
        <v>37022</v>
      </c>
      <c r="F271" s="78"/>
      <c r="G271" s="78">
        <f t="shared" si="276"/>
        <v>37022</v>
      </c>
      <c r="H271" s="78"/>
      <c r="I271" s="78">
        <f t="shared" si="277"/>
        <v>37022</v>
      </c>
      <c r="J271" s="78"/>
      <c r="K271" s="78">
        <f t="shared" si="278"/>
        <v>37022</v>
      </c>
      <c r="L271" s="78"/>
      <c r="M271" s="78">
        <f t="shared" si="279"/>
        <v>37022</v>
      </c>
      <c r="N271" s="78"/>
      <c r="O271" s="78">
        <f t="shared" si="280"/>
        <v>37022</v>
      </c>
      <c r="P271" s="78"/>
      <c r="Q271" s="78">
        <f t="shared" si="281"/>
        <v>37022</v>
      </c>
      <c r="R271" s="78"/>
      <c r="S271" s="78">
        <f t="shared" si="282"/>
        <v>37022</v>
      </c>
      <c r="T271" s="78">
        <v>-2000</v>
      </c>
      <c r="U271" s="78">
        <f t="shared" si="283"/>
        <v>35022</v>
      </c>
      <c r="V271" s="78"/>
      <c r="W271" s="78">
        <f t="shared" si="284"/>
        <v>35022</v>
      </c>
      <c r="X271" s="78"/>
      <c r="Y271" s="78">
        <f t="shared" si="285"/>
        <v>35022</v>
      </c>
      <c r="Z271" s="78"/>
      <c r="AA271" s="78">
        <f t="shared" si="286"/>
        <v>35022</v>
      </c>
      <c r="AB271" s="78"/>
      <c r="AC271" s="78">
        <f t="shared" si="287"/>
        <v>35022</v>
      </c>
      <c r="AD271" s="78">
        <v>-200</v>
      </c>
      <c r="AE271" s="78">
        <f t="shared" si="288"/>
        <v>34822</v>
      </c>
      <c r="AF271" s="78"/>
      <c r="AG271" s="78">
        <f t="shared" si="289"/>
        <v>34822</v>
      </c>
      <c r="AH271" s="78"/>
      <c r="AI271" s="78">
        <f t="shared" si="290"/>
        <v>34822</v>
      </c>
      <c r="AJ271" s="78">
        <f>-9800+1600</f>
        <v>-8200</v>
      </c>
      <c r="AK271" s="78">
        <f t="shared" si="291"/>
        <v>26622</v>
      </c>
      <c r="AL271" s="78"/>
      <c r="AM271" s="78">
        <f t="shared" si="292"/>
        <v>26622</v>
      </c>
    </row>
    <row r="272" spans="1:39" s="23" customFormat="1" ht="27.75" customHeight="1">
      <c r="A272" s="64"/>
      <c r="B272" s="79"/>
      <c r="C272" s="67">
        <v>6050</v>
      </c>
      <c r="D272" s="12" t="s">
        <v>72</v>
      </c>
      <c r="E272" s="78">
        <v>660000</v>
      </c>
      <c r="F272" s="78">
        <v>-110000</v>
      </c>
      <c r="G272" s="78">
        <f t="shared" si="276"/>
        <v>550000</v>
      </c>
      <c r="H272" s="78"/>
      <c r="I272" s="78">
        <f t="shared" si="277"/>
        <v>550000</v>
      </c>
      <c r="J272" s="78"/>
      <c r="K272" s="78">
        <f t="shared" si="278"/>
        <v>550000</v>
      </c>
      <c r="L272" s="78"/>
      <c r="M272" s="78">
        <f t="shared" si="279"/>
        <v>550000</v>
      </c>
      <c r="N272" s="78"/>
      <c r="O272" s="78">
        <f t="shared" si="280"/>
        <v>550000</v>
      </c>
      <c r="P272" s="78">
        <v>63850</v>
      </c>
      <c r="Q272" s="78">
        <f t="shared" si="281"/>
        <v>613850</v>
      </c>
      <c r="R272" s="78">
        <v>63850</v>
      </c>
      <c r="S272" s="78">
        <f t="shared" si="282"/>
        <v>677700</v>
      </c>
      <c r="T272" s="78"/>
      <c r="U272" s="78">
        <f t="shared" si="283"/>
        <v>677700</v>
      </c>
      <c r="V272" s="78"/>
      <c r="W272" s="78">
        <f t="shared" si="284"/>
        <v>677700</v>
      </c>
      <c r="X272" s="78"/>
      <c r="Y272" s="78">
        <f t="shared" si="285"/>
        <v>677700</v>
      </c>
      <c r="Z272" s="78"/>
      <c r="AA272" s="78">
        <f t="shared" si="286"/>
        <v>677700</v>
      </c>
      <c r="AB272" s="78"/>
      <c r="AC272" s="78">
        <f t="shared" si="287"/>
        <v>677700</v>
      </c>
      <c r="AD272" s="78"/>
      <c r="AE272" s="78">
        <f t="shared" si="288"/>
        <v>677700</v>
      </c>
      <c r="AF272" s="78"/>
      <c r="AG272" s="78">
        <f t="shared" si="289"/>
        <v>677700</v>
      </c>
      <c r="AH272" s="78"/>
      <c r="AI272" s="78">
        <f t="shared" si="290"/>
        <v>677700</v>
      </c>
      <c r="AJ272" s="78"/>
      <c r="AK272" s="78">
        <f t="shared" si="291"/>
        <v>677700</v>
      </c>
      <c r="AL272" s="78"/>
      <c r="AM272" s="78">
        <f t="shared" si="292"/>
        <v>677700</v>
      </c>
    </row>
    <row r="273" spans="1:39" s="23" customFormat="1" ht="29.25" customHeight="1">
      <c r="A273" s="64"/>
      <c r="B273" s="79"/>
      <c r="C273" s="67">
        <v>6060</v>
      </c>
      <c r="D273" s="12" t="s">
        <v>95</v>
      </c>
      <c r="E273" s="78">
        <v>10300</v>
      </c>
      <c r="F273" s="78"/>
      <c r="G273" s="78">
        <f t="shared" si="276"/>
        <v>10300</v>
      </c>
      <c r="H273" s="78"/>
      <c r="I273" s="78">
        <f t="shared" si="277"/>
        <v>10300</v>
      </c>
      <c r="J273" s="78"/>
      <c r="K273" s="78">
        <f t="shared" si="278"/>
        <v>10300</v>
      </c>
      <c r="L273" s="78"/>
      <c r="M273" s="78">
        <f t="shared" si="279"/>
        <v>10300</v>
      </c>
      <c r="N273" s="78"/>
      <c r="O273" s="78">
        <f t="shared" si="280"/>
        <v>10300</v>
      </c>
      <c r="P273" s="78"/>
      <c r="Q273" s="78">
        <f t="shared" si="281"/>
        <v>10300</v>
      </c>
      <c r="R273" s="78"/>
      <c r="S273" s="78">
        <f t="shared" si="282"/>
        <v>10300</v>
      </c>
      <c r="T273" s="78"/>
      <c r="U273" s="78">
        <f t="shared" si="283"/>
        <v>10300</v>
      </c>
      <c r="V273" s="78"/>
      <c r="W273" s="78">
        <f t="shared" si="284"/>
        <v>10300</v>
      </c>
      <c r="X273" s="78"/>
      <c r="Y273" s="78">
        <f t="shared" si="285"/>
        <v>10300</v>
      </c>
      <c r="Z273" s="78"/>
      <c r="AA273" s="78">
        <f t="shared" si="286"/>
        <v>10300</v>
      </c>
      <c r="AB273" s="78"/>
      <c r="AC273" s="78">
        <f t="shared" si="287"/>
        <v>10300</v>
      </c>
      <c r="AD273" s="78">
        <v>-10300</v>
      </c>
      <c r="AE273" s="78">
        <f t="shared" si="288"/>
        <v>0</v>
      </c>
      <c r="AF273" s="78"/>
      <c r="AG273" s="78">
        <f t="shared" si="289"/>
        <v>0</v>
      </c>
      <c r="AH273" s="78"/>
      <c r="AI273" s="78">
        <f t="shared" si="290"/>
        <v>0</v>
      </c>
      <c r="AJ273" s="78"/>
      <c r="AK273" s="78">
        <f t="shared" si="291"/>
        <v>0</v>
      </c>
      <c r="AL273" s="78"/>
      <c r="AM273" s="78">
        <f t="shared" si="292"/>
        <v>0</v>
      </c>
    </row>
    <row r="274" spans="1:39" s="23" customFormat="1" ht="27" customHeight="1">
      <c r="A274" s="64"/>
      <c r="B274" s="79">
        <v>80103</v>
      </c>
      <c r="C274" s="67"/>
      <c r="D274" s="37" t="s">
        <v>200</v>
      </c>
      <c r="E274" s="78">
        <f aca="true" t="shared" si="293" ref="E274:W274">SUM(E275:E291)</f>
        <v>629238</v>
      </c>
      <c r="F274" s="78">
        <f t="shared" si="293"/>
        <v>0</v>
      </c>
      <c r="G274" s="78">
        <f t="shared" si="293"/>
        <v>629238</v>
      </c>
      <c r="H274" s="78">
        <f t="shared" si="293"/>
        <v>0</v>
      </c>
      <c r="I274" s="78">
        <f t="shared" si="293"/>
        <v>629238</v>
      </c>
      <c r="J274" s="78">
        <f t="shared" si="293"/>
        <v>0</v>
      </c>
      <c r="K274" s="78">
        <f t="shared" si="293"/>
        <v>629238</v>
      </c>
      <c r="L274" s="78">
        <f t="shared" si="293"/>
        <v>-2096</v>
      </c>
      <c r="M274" s="78">
        <f t="shared" si="293"/>
        <v>627142</v>
      </c>
      <c r="N274" s="78">
        <f t="shared" si="293"/>
        <v>0</v>
      </c>
      <c r="O274" s="78">
        <f t="shared" si="293"/>
        <v>627142</v>
      </c>
      <c r="P274" s="78">
        <f t="shared" si="293"/>
        <v>0</v>
      </c>
      <c r="Q274" s="78">
        <f t="shared" si="293"/>
        <v>627142</v>
      </c>
      <c r="R274" s="78">
        <f t="shared" si="293"/>
        <v>0</v>
      </c>
      <c r="S274" s="78">
        <f t="shared" si="293"/>
        <v>627142</v>
      </c>
      <c r="T274" s="78">
        <f t="shared" si="293"/>
        <v>0</v>
      </c>
      <c r="U274" s="78">
        <f t="shared" si="293"/>
        <v>627142</v>
      </c>
      <c r="V274" s="78">
        <f t="shared" si="293"/>
        <v>0</v>
      </c>
      <c r="W274" s="78">
        <f t="shared" si="293"/>
        <v>627142</v>
      </c>
      <c r="X274" s="78">
        <f aca="true" t="shared" si="294" ref="X274:AC274">SUM(X275:X291)</f>
        <v>0</v>
      </c>
      <c r="Y274" s="78">
        <f t="shared" si="294"/>
        <v>627142</v>
      </c>
      <c r="Z274" s="78">
        <f t="shared" si="294"/>
        <v>0</v>
      </c>
      <c r="AA274" s="78">
        <f t="shared" si="294"/>
        <v>627142</v>
      </c>
      <c r="AB274" s="78">
        <f t="shared" si="294"/>
        <v>0</v>
      </c>
      <c r="AC274" s="78">
        <f t="shared" si="294"/>
        <v>627142</v>
      </c>
      <c r="AD274" s="78">
        <f aca="true" t="shared" si="295" ref="AD274:AI274">SUM(AD275:AD291)</f>
        <v>0</v>
      </c>
      <c r="AE274" s="78">
        <f t="shared" si="295"/>
        <v>627142</v>
      </c>
      <c r="AF274" s="78">
        <f t="shared" si="295"/>
        <v>18550</v>
      </c>
      <c r="AG274" s="78">
        <f t="shared" si="295"/>
        <v>645692</v>
      </c>
      <c r="AH274" s="78">
        <f t="shared" si="295"/>
        <v>0</v>
      </c>
      <c r="AI274" s="78">
        <f t="shared" si="295"/>
        <v>645692</v>
      </c>
      <c r="AJ274" s="78">
        <f>SUM(AJ275:AJ291)</f>
        <v>4593</v>
      </c>
      <c r="AK274" s="78">
        <f>SUM(AK275:AK291)</f>
        <v>650285</v>
      </c>
      <c r="AL274" s="78">
        <f>SUM(AL275:AL291)</f>
        <v>0</v>
      </c>
      <c r="AM274" s="78">
        <f>SUM(AM275:AM291)</f>
        <v>650285</v>
      </c>
    </row>
    <row r="275" spans="1:39" s="23" customFormat="1" ht="60.75" customHeight="1">
      <c r="A275" s="64"/>
      <c r="B275" s="79"/>
      <c r="C275" s="83">
        <v>2590</v>
      </c>
      <c r="D275" s="37" t="s">
        <v>285</v>
      </c>
      <c r="E275" s="78">
        <v>41492</v>
      </c>
      <c r="F275" s="78"/>
      <c r="G275" s="78">
        <f>SUM(E275:F275)</f>
        <v>41492</v>
      </c>
      <c r="H275" s="78"/>
      <c r="I275" s="78">
        <f>SUM(G275:H275)</f>
        <v>41492</v>
      </c>
      <c r="J275" s="78"/>
      <c r="K275" s="78">
        <f>SUM(I275:J275)</f>
        <v>41492</v>
      </c>
      <c r="L275" s="78"/>
      <c r="M275" s="78">
        <f>SUM(K275:L275)</f>
        <v>41492</v>
      </c>
      <c r="N275" s="78"/>
      <c r="O275" s="78">
        <f>SUM(M275:N275)</f>
        <v>41492</v>
      </c>
      <c r="P275" s="78"/>
      <c r="Q275" s="78">
        <f>SUM(O275:P275)</f>
        <v>41492</v>
      </c>
      <c r="R275" s="78"/>
      <c r="S275" s="78">
        <f>SUM(Q275:R275)</f>
        <v>41492</v>
      </c>
      <c r="T275" s="78"/>
      <c r="U275" s="78">
        <f>SUM(S275:T275)</f>
        <v>41492</v>
      </c>
      <c r="V275" s="78"/>
      <c r="W275" s="78">
        <f>SUM(U275:V275)</f>
        <v>41492</v>
      </c>
      <c r="X275" s="78"/>
      <c r="Y275" s="78">
        <f>SUM(W275:X275)</f>
        <v>41492</v>
      </c>
      <c r="Z275" s="78"/>
      <c r="AA275" s="78">
        <f>SUM(Y275:Z275)</f>
        <v>41492</v>
      </c>
      <c r="AB275" s="78"/>
      <c r="AC275" s="78">
        <f>SUM(AA275:AB275)</f>
        <v>41492</v>
      </c>
      <c r="AD275" s="78"/>
      <c r="AE275" s="78">
        <f>SUM(AC275:AD275)</f>
        <v>41492</v>
      </c>
      <c r="AF275" s="78">
        <v>18550</v>
      </c>
      <c r="AG275" s="78">
        <f>SUM(AE275:AF275)</f>
        <v>60042</v>
      </c>
      <c r="AH275" s="78"/>
      <c r="AI275" s="78">
        <f>SUM(AG275:AH275)</f>
        <v>60042</v>
      </c>
      <c r="AJ275" s="78"/>
      <c r="AK275" s="78">
        <f>SUM(AI275:AJ275)</f>
        <v>60042</v>
      </c>
      <c r="AL275" s="78"/>
      <c r="AM275" s="78">
        <f>SUM(AK275:AL275)</f>
        <v>60042</v>
      </c>
    </row>
    <row r="276" spans="1:39" s="23" customFormat="1" ht="26.25" customHeight="1">
      <c r="A276" s="64"/>
      <c r="B276" s="79"/>
      <c r="C276" s="83">
        <v>3020</v>
      </c>
      <c r="D276" s="37" t="s">
        <v>187</v>
      </c>
      <c r="E276" s="78">
        <v>22991</v>
      </c>
      <c r="F276" s="78"/>
      <c r="G276" s="78">
        <f aca="true" t="shared" si="296" ref="G276:G291">SUM(E276:F276)</f>
        <v>22991</v>
      </c>
      <c r="H276" s="78"/>
      <c r="I276" s="78">
        <f aca="true" t="shared" si="297" ref="I276:I291">SUM(G276:H276)</f>
        <v>22991</v>
      </c>
      <c r="J276" s="78"/>
      <c r="K276" s="78">
        <f aca="true" t="shared" si="298" ref="K276:K291">SUM(I276:J276)</f>
        <v>22991</v>
      </c>
      <c r="L276" s="78"/>
      <c r="M276" s="78">
        <f aca="true" t="shared" si="299" ref="M276:M291">SUM(K276:L276)</f>
        <v>22991</v>
      </c>
      <c r="N276" s="78"/>
      <c r="O276" s="78">
        <f aca="true" t="shared" si="300" ref="O276:O291">SUM(M276:N276)</f>
        <v>22991</v>
      </c>
      <c r="P276" s="78"/>
      <c r="Q276" s="78">
        <f aca="true" t="shared" si="301" ref="Q276:Q291">SUM(O276:P276)</f>
        <v>22991</v>
      </c>
      <c r="R276" s="78"/>
      <c r="S276" s="78">
        <f aca="true" t="shared" si="302" ref="S276:S291">SUM(Q276:R276)</f>
        <v>22991</v>
      </c>
      <c r="T276" s="78"/>
      <c r="U276" s="78">
        <f aca="true" t="shared" si="303" ref="U276:U291">SUM(S276:T276)</f>
        <v>22991</v>
      </c>
      <c r="V276" s="78"/>
      <c r="W276" s="78">
        <f aca="true" t="shared" si="304" ref="W276:W291">SUM(U276:V276)</f>
        <v>22991</v>
      </c>
      <c r="X276" s="78"/>
      <c r="Y276" s="78">
        <f aca="true" t="shared" si="305" ref="Y276:Y291">SUM(W276:X276)</f>
        <v>22991</v>
      </c>
      <c r="Z276" s="78"/>
      <c r="AA276" s="78">
        <f aca="true" t="shared" si="306" ref="AA276:AA291">SUM(Y276:Z276)</f>
        <v>22991</v>
      </c>
      <c r="AB276" s="78"/>
      <c r="AC276" s="78">
        <f aca="true" t="shared" si="307" ref="AC276:AC291">SUM(AA276:AB276)</f>
        <v>22991</v>
      </c>
      <c r="AD276" s="78"/>
      <c r="AE276" s="78">
        <f aca="true" t="shared" si="308" ref="AE276:AE291">SUM(AC276:AD276)</f>
        <v>22991</v>
      </c>
      <c r="AF276" s="78"/>
      <c r="AG276" s="78">
        <f aca="true" t="shared" si="309" ref="AG276:AG291">SUM(AE276:AF276)</f>
        <v>22991</v>
      </c>
      <c r="AH276" s="78"/>
      <c r="AI276" s="78">
        <f aca="true" t="shared" si="310" ref="AI276:AI291">SUM(AG276:AH276)</f>
        <v>22991</v>
      </c>
      <c r="AJ276" s="78">
        <f>3535-194</f>
        <v>3341</v>
      </c>
      <c r="AK276" s="78">
        <f aca="true" t="shared" si="311" ref="AK276:AK291">SUM(AI276:AJ276)</f>
        <v>26332</v>
      </c>
      <c r="AL276" s="78"/>
      <c r="AM276" s="78">
        <f aca="true" t="shared" si="312" ref="AM276:AM291">SUM(AK276:AL276)</f>
        <v>26332</v>
      </c>
    </row>
    <row r="277" spans="1:42" s="23" customFormat="1" ht="21" customHeight="1">
      <c r="A277" s="64"/>
      <c r="B277" s="79"/>
      <c r="C277" s="83">
        <v>4010</v>
      </c>
      <c r="D277" s="37" t="s">
        <v>83</v>
      </c>
      <c r="E277" s="78">
        <v>365853</v>
      </c>
      <c r="F277" s="78"/>
      <c r="G277" s="78">
        <f t="shared" si="296"/>
        <v>365853</v>
      </c>
      <c r="H277" s="78"/>
      <c r="I277" s="78">
        <f t="shared" si="297"/>
        <v>365853</v>
      </c>
      <c r="J277" s="78"/>
      <c r="K277" s="78">
        <f t="shared" si="298"/>
        <v>365853</v>
      </c>
      <c r="L277" s="78">
        <v>2052</v>
      </c>
      <c r="M277" s="78">
        <f t="shared" si="299"/>
        <v>367905</v>
      </c>
      <c r="N277" s="78"/>
      <c r="O277" s="78">
        <f t="shared" si="300"/>
        <v>367905</v>
      </c>
      <c r="P277" s="78"/>
      <c r="Q277" s="78">
        <f t="shared" si="301"/>
        <v>367905</v>
      </c>
      <c r="R277" s="78"/>
      <c r="S277" s="78">
        <f t="shared" si="302"/>
        <v>367905</v>
      </c>
      <c r="T277" s="78"/>
      <c r="U277" s="78">
        <f t="shared" si="303"/>
        <v>367905</v>
      </c>
      <c r="V277" s="78"/>
      <c r="W277" s="78">
        <f t="shared" si="304"/>
        <v>367905</v>
      </c>
      <c r="X277" s="78"/>
      <c r="Y277" s="78">
        <f t="shared" si="305"/>
        <v>367905</v>
      </c>
      <c r="Z277" s="78"/>
      <c r="AA277" s="78">
        <f t="shared" si="306"/>
        <v>367905</v>
      </c>
      <c r="AB277" s="78"/>
      <c r="AC277" s="78">
        <f t="shared" si="307"/>
        <v>367905</v>
      </c>
      <c r="AD277" s="78"/>
      <c r="AE277" s="78">
        <f t="shared" si="308"/>
        <v>367905</v>
      </c>
      <c r="AF277" s="78"/>
      <c r="AG277" s="78">
        <f t="shared" si="309"/>
        <v>367905</v>
      </c>
      <c r="AH277" s="78"/>
      <c r="AI277" s="78">
        <f t="shared" si="310"/>
        <v>367905</v>
      </c>
      <c r="AJ277" s="78">
        <f>1855-4364</f>
        <v>-2509</v>
      </c>
      <c r="AK277" s="78">
        <f t="shared" si="311"/>
        <v>365396</v>
      </c>
      <c r="AL277" s="78"/>
      <c r="AM277" s="78">
        <f t="shared" si="312"/>
        <v>365396</v>
      </c>
      <c r="AN277" s="113"/>
      <c r="AO277" s="113"/>
      <c r="AP277" s="113"/>
    </row>
    <row r="278" spans="1:42" s="23" customFormat="1" ht="21" customHeight="1">
      <c r="A278" s="64"/>
      <c r="B278" s="79"/>
      <c r="C278" s="83">
        <v>4040</v>
      </c>
      <c r="D278" s="37" t="s">
        <v>84</v>
      </c>
      <c r="E278" s="78">
        <v>26742</v>
      </c>
      <c r="F278" s="78"/>
      <c r="G278" s="78">
        <f t="shared" si="296"/>
        <v>26742</v>
      </c>
      <c r="H278" s="78"/>
      <c r="I278" s="78">
        <f t="shared" si="297"/>
        <v>26742</v>
      </c>
      <c r="J278" s="78"/>
      <c r="K278" s="78">
        <f t="shared" si="298"/>
        <v>26742</v>
      </c>
      <c r="L278" s="78">
        <v>-4148</v>
      </c>
      <c r="M278" s="78">
        <f t="shared" si="299"/>
        <v>22594</v>
      </c>
      <c r="N278" s="78"/>
      <c r="O278" s="78">
        <f t="shared" si="300"/>
        <v>22594</v>
      </c>
      <c r="P278" s="78"/>
      <c r="Q278" s="78">
        <f t="shared" si="301"/>
        <v>22594</v>
      </c>
      <c r="R278" s="78"/>
      <c r="S278" s="78">
        <f t="shared" si="302"/>
        <v>22594</v>
      </c>
      <c r="T278" s="78"/>
      <c r="U278" s="78">
        <f t="shared" si="303"/>
        <v>22594</v>
      </c>
      <c r="V278" s="78"/>
      <c r="W278" s="78">
        <f t="shared" si="304"/>
        <v>22594</v>
      </c>
      <c r="X278" s="78"/>
      <c r="Y278" s="78">
        <f t="shared" si="305"/>
        <v>22594</v>
      </c>
      <c r="Z278" s="78"/>
      <c r="AA278" s="78">
        <f t="shared" si="306"/>
        <v>22594</v>
      </c>
      <c r="AB278" s="78"/>
      <c r="AC278" s="78">
        <f t="shared" si="307"/>
        <v>22594</v>
      </c>
      <c r="AD278" s="78"/>
      <c r="AE278" s="78">
        <f t="shared" si="308"/>
        <v>22594</v>
      </c>
      <c r="AF278" s="78"/>
      <c r="AG278" s="78">
        <f t="shared" si="309"/>
        <v>22594</v>
      </c>
      <c r="AH278" s="78"/>
      <c r="AI278" s="78">
        <f t="shared" si="310"/>
        <v>22594</v>
      </c>
      <c r="AJ278" s="78"/>
      <c r="AK278" s="78">
        <f t="shared" si="311"/>
        <v>22594</v>
      </c>
      <c r="AL278" s="78"/>
      <c r="AM278" s="78">
        <f t="shared" si="312"/>
        <v>22594</v>
      </c>
      <c r="AN278" s="113"/>
      <c r="AO278" s="113"/>
      <c r="AP278" s="113"/>
    </row>
    <row r="279" spans="1:42" s="23" customFormat="1" ht="21" customHeight="1">
      <c r="A279" s="64"/>
      <c r="B279" s="79"/>
      <c r="C279" s="83">
        <v>4110</v>
      </c>
      <c r="D279" s="37" t="s">
        <v>85</v>
      </c>
      <c r="E279" s="78">
        <v>63619</v>
      </c>
      <c r="F279" s="78"/>
      <c r="G279" s="78">
        <f t="shared" si="296"/>
        <v>63619</v>
      </c>
      <c r="H279" s="78"/>
      <c r="I279" s="78">
        <f t="shared" si="297"/>
        <v>63619</v>
      </c>
      <c r="J279" s="78"/>
      <c r="K279" s="78">
        <f t="shared" si="298"/>
        <v>63619</v>
      </c>
      <c r="L279" s="78"/>
      <c r="M279" s="78">
        <f t="shared" si="299"/>
        <v>63619</v>
      </c>
      <c r="N279" s="78"/>
      <c r="O279" s="78">
        <f t="shared" si="300"/>
        <v>63619</v>
      </c>
      <c r="P279" s="78"/>
      <c r="Q279" s="78">
        <f t="shared" si="301"/>
        <v>63619</v>
      </c>
      <c r="R279" s="78"/>
      <c r="S279" s="78">
        <f t="shared" si="302"/>
        <v>63619</v>
      </c>
      <c r="T279" s="78"/>
      <c r="U279" s="78">
        <f t="shared" si="303"/>
        <v>63619</v>
      </c>
      <c r="V279" s="78"/>
      <c r="W279" s="78">
        <f t="shared" si="304"/>
        <v>63619</v>
      </c>
      <c r="X279" s="78"/>
      <c r="Y279" s="78">
        <f t="shared" si="305"/>
        <v>63619</v>
      </c>
      <c r="Z279" s="78"/>
      <c r="AA279" s="78">
        <f t="shared" si="306"/>
        <v>63619</v>
      </c>
      <c r="AB279" s="78"/>
      <c r="AC279" s="78">
        <f t="shared" si="307"/>
        <v>63619</v>
      </c>
      <c r="AD279" s="78"/>
      <c r="AE279" s="78">
        <f t="shared" si="308"/>
        <v>63619</v>
      </c>
      <c r="AF279" s="78"/>
      <c r="AG279" s="78">
        <f t="shared" si="309"/>
        <v>63619</v>
      </c>
      <c r="AH279" s="78"/>
      <c r="AI279" s="78">
        <f t="shared" si="310"/>
        <v>63619</v>
      </c>
      <c r="AJ279" s="78">
        <f>2110-54+1000</f>
        <v>3056</v>
      </c>
      <c r="AK279" s="78">
        <f t="shared" si="311"/>
        <v>66675</v>
      </c>
      <c r="AL279" s="78"/>
      <c r="AM279" s="78">
        <f t="shared" si="312"/>
        <v>66675</v>
      </c>
      <c r="AN279" s="113"/>
      <c r="AO279" s="113"/>
      <c r="AP279" s="113"/>
    </row>
    <row r="280" spans="1:42" s="23" customFormat="1" ht="21" customHeight="1">
      <c r="A280" s="64"/>
      <c r="B280" s="79"/>
      <c r="C280" s="83">
        <v>4120</v>
      </c>
      <c r="D280" s="37" t="s">
        <v>86</v>
      </c>
      <c r="E280" s="78">
        <v>10275</v>
      </c>
      <c r="F280" s="78"/>
      <c r="G280" s="78">
        <f t="shared" si="296"/>
        <v>10275</v>
      </c>
      <c r="H280" s="78"/>
      <c r="I280" s="78">
        <f t="shared" si="297"/>
        <v>10275</v>
      </c>
      <c r="J280" s="78"/>
      <c r="K280" s="78">
        <f t="shared" si="298"/>
        <v>10275</v>
      </c>
      <c r="L280" s="78"/>
      <c r="M280" s="78">
        <f t="shared" si="299"/>
        <v>10275</v>
      </c>
      <c r="N280" s="78"/>
      <c r="O280" s="78">
        <f t="shared" si="300"/>
        <v>10275</v>
      </c>
      <c r="P280" s="78"/>
      <c r="Q280" s="78">
        <f t="shared" si="301"/>
        <v>10275</v>
      </c>
      <c r="R280" s="78"/>
      <c r="S280" s="78">
        <f t="shared" si="302"/>
        <v>10275</v>
      </c>
      <c r="T280" s="78"/>
      <c r="U280" s="78">
        <f t="shared" si="303"/>
        <v>10275</v>
      </c>
      <c r="V280" s="78"/>
      <c r="W280" s="78">
        <f t="shared" si="304"/>
        <v>10275</v>
      </c>
      <c r="X280" s="78"/>
      <c r="Y280" s="78">
        <f t="shared" si="305"/>
        <v>10275</v>
      </c>
      <c r="Z280" s="78"/>
      <c r="AA280" s="78">
        <f t="shared" si="306"/>
        <v>10275</v>
      </c>
      <c r="AB280" s="78"/>
      <c r="AC280" s="78">
        <f t="shared" si="307"/>
        <v>10275</v>
      </c>
      <c r="AD280" s="78"/>
      <c r="AE280" s="78">
        <f t="shared" si="308"/>
        <v>10275</v>
      </c>
      <c r="AF280" s="78"/>
      <c r="AG280" s="78">
        <f t="shared" si="309"/>
        <v>10275</v>
      </c>
      <c r="AH280" s="78"/>
      <c r="AI280" s="78">
        <f t="shared" si="310"/>
        <v>10275</v>
      </c>
      <c r="AJ280" s="78">
        <f>147-2</f>
        <v>145</v>
      </c>
      <c r="AK280" s="78">
        <f t="shared" si="311"/>
        <v>10420</v>
      </c>
      <c r="AL280" s="78"/>
      <c r="AM280" s="78">
        <f t="shared" si="312"/>
        <v>10420</v>
      </c>
      <c r="AN280" s="113"/>
      <c r="AO280" s="113"/>
      <c r="AP280" s="113"/>
    </row>
    <row r="281" spans="1:42" s="23" customFormat="1" ht="21" customHeight="1">
      <c r="A281" s="64"/>
      <c r="B281" s="79"/>
      <c r="C281" s="83">
        <v>4170</v>
      </c>
      <c r="D281" s="37" t="s">
        <v>189</v>
      </c>
      <c r="E281" s="78">
        <v>16800</v>
      </c>
      <c r="F281" s="78"/>
      <c r="G281" s="78">
        <f t="shared" si="296"/>
        <v>16800</v>
      </c>
      <c r="H281" s="78"/>
      <c r="I281" s="78">
        <f t="shared" si="297"/>
        <v>16800</v>
      </c>
      <c r="J281" s="78"/>
      <c r="K281" s="78">
        <f t="shared" si="298"/>
        <v>16800</v>
      </c>
      <c r="L281" s="78"/>
      <c r="M281" s="78">
        <f t="shared" si="299"/>
        <v>16800</v>
      </c>
      <c r="N281" s="78"/>
      <c r="O281" s="78">
        <f t="shared" si="300"/>
        <v>16800</v>
      </c>
      <c r="P281" s="78"/>
      <c r="Q281" s="78">
        <f t="shared" si="301"/>
        <v>16800</v>
      </c>
      <c r="R281" s="78"/>
      <c r="S281" s="78">
        <f t="shared" si="302"/>
        <v>16800</v>
      </c>
      <c r="T281" s="78"/>
      <c r="U281" s="78">
        <f t="shared" si="303"/>
        <v>16800</v>
      </c>
      <c r="V281" s="78"/>
      <c r="W281" s="78">
        <f t="shared" si="304"/>
        <v>16800</v>
      </c>
      <c r="X281" s="78"/>
      <c r="Y281" s="78">
        <f t="shared" si="305"/>
        <v>16800</v>
      </c>
      <c r="Z281" s="78"/>
      <c r="AA281" s="78">
        <f t="shared" si="306"/>
        <v>16800</v>
      </c>
      <c r="AB281" s="78"/>
      <c r="AC281" s="78">
        <f t="shared" si="307"/>
        <v>16800</v>
      </c>
      <c r="AD281" s="78"/>
      <c r="AE281" s="78">
        <f t="shared" si="308"/>
        <v>16800</v>
      </c>
      <c r="AF281" s="78"/>
      <c r="AG281" s="78">
        <f t="shared" si="309"/>
        <v>16800</v>
      </c>
      <c r="AH281" s="78"/>
      <c r="AI281" s="78">
        <f t="shared" si="310"/>
        <v>16800</v>
      </c>
      <c r="AJ281" s="78">
        <v>-1150</v>
      </c>
      <c r="AK281" s="78">
        <f t="shared" si="311"/>
        <v>15650</v>
      </c>
      <c r="AL281" s="78"/>
      <c r="AM281" s="78">
        <f t="shared" si="312"/>
        <v>15650</v>
      </c>
      <c r="AN281" s="113"/>
      <c r="AO281" s="113"/>
      <c r="AP281" s="113"/>
    </row>
    <row r="282" spans="1:39" s="23" customFormat="1" ht="21" customHeight="1">
      <c r="A282" s="64"/>
      <c r="B282" s="79"/>
      <c r="C282" s="83">
        <v>4210</v>
      </c>
      <c r="D282" s="37" t="s">
        <v>71</v>
      </c>
      <c r="E282" s="78">
        <f>30280+1000</f>
        <v>31280</v>
      </c>
      <c r="F282" s="78"/>
      <c r="G282" s="78">
        <f t="shared" si="296"/>
        <v>31280</v>
      </c>
      <c r="H282" s="78"/>
      <c r="I282" s="78">
        <f t="shared" si="297"/>
        <v>31280</v>
      </c>
      <c r="J282" s="78"/>
      <c r="K282" s="78">
        <f t="shared" si="298"/>
        <v>31280</v>
      </c>
      <c r="L282" s="78">
        <v>-500</v>
      </c>
      <c r="M282" s="78">
        <f t="shared" si="299"/>
        <v>30780</v>
      </c>
      <c r="N282" s="78">
        <v>500</v>
      </c>
      <c r="O282" s="78">
        <f t="shared" si="300"/>
        <v>31280</v>
      </c>
      <c r="P282" s="78"/>
      <c r="Q282" s="78">
        <f t="shared" si="301"/>
        <v>31280</v>
      </c>
      <c r="R282" s="78"/>
      <c r="S282" s="78">
        <f t="shared" si="302"/>
        <v>31280</v>
      </c>
      <c r="T282" s="78"/>
      <c r="U282" s="78">
        <f t="shared" si="303"/>
        <v>31280</v>
      </c>
      <c r="V282" s="78">
        <f>-500+400</f>
        <v>-100</v>
      </c>
      <c r="W282" s="78">
        <f t="shared" si="304"/>
        <v>31180</v>
      </c>
      <c r="X282" s="78"/>
      <c r="Y282" s="78">
        <f t="shared" si="305"/>
        <v>31180</v>
      </c>
      <c r="Z282" s="78"/>
      <c r="AA282" s="78">
        <f t="shared" si="306"/>
        <v>31180</v>
      </c>
      <c r="AB282" s="78"/>
      <c r="AC282" s="78">
        <f t="shared" si="307"/>
        <v>31180</v>
      </c>
      <c r="AD282" s="78"/>
      <c r="AE282" s="78">
        <f t="shared" si="308"/>
        <v>31180</v>
      </c>
      <c r="AF282" s="78"/>
      <c r="AG282" s="78">
        <f t="shared" si="309"/>
        <v>31180</v>
      </c>
      <c r="AH282" s="78"/>
      <c r="AI282" s="78">
        <f t="shared" si="310"/>
        <v>31180</v>
      </c>
      <c r="AJ282" s="78">
        <f>6414-314</f>
        <v>6100</v>
      </c>
      <c r="AK282" s="78">
        <f t="shared" si="311"/>
        <v>37280</v>
      </c>
      <c r="AL282" s="78"/>
      <c r="AM282" s="78">
        <f t="shared" si="312"/>
        <v>37280</v>
      </c>
    </row>
    <row r="283" spans="1:39" s="23" customFormat="1" ht="22.5">
      <c r="A283" s="64"/>
      <c r="B283" s="79"/>
      <c r="C283" s="83">
        <v>4240</v>
      </c>
      <c r="D283" s="37" t="s">
        <v>122</v>
      </c>
      <c r="E283" s="78">
        <f>4120+1200+500</f>
        <v>5820</v>
      </c>
      <c r="F283" s="78"/>
      <c r="G283" s="78">
        <f t="shared" si="296"/>
        <v>5820</v>
      </c>
      <c r="H283" s="78"/>
      <c r="I283" s="78">
        <f t="shared" si="297"/>
        <v>5820</v>
      </c>
      <c r="J283" s="78"/>
      <c r="K283" s="78">
        <f t="shared" si="298"/>
        <v>5820</v>
      </c>
      <c r="L283" s="78">
        <v>500</v>
      </c>
      <c r="M283" s="78">
        <f t="shared" si="299"/>
        <v>6320</v>
      </c>
      <c r="N283" s="78">
        <v>-500</v>
      </c>
      <c r="O283" s="78">
        <f t="shared" si="300"/>
        <v>5820</v>
      </c>
      <c r="P283" s="78"/>
      <c r="Q283" s="78">
        <f t="shared" si="301"/>
        <v>5820</v>
      </c>
      <c r="R283" s="78"/>
      <c r="S283" s="78">
        <f t="shared" si="302"/>
        <v>5820</v>
      </c>
      <c r="T283" s="78"/>
      <c r="U283" s="78">
        <f t="shared" si="303"/>
        <v>5820</v>
      </c>
      <c r="V283" s="78">
        <f>500-400</f>
        <v>100</v>
      </c>
      <c r="W283" s="78">
        <f t="shared" si="304"/>
        <v>5920</v>
      </c>
      <c r="X283" s="78"/>
      <c r="Y283" s="78">
        <f t="shared" si="305"/>
        <v>5920</v>
      </c>
      <c r="Z283" s="78"/>
      <c r="AA283" s="78">
        <f t="shared" si="306"/>
        <v>5920</v>
      </c>
      <c r="AB283" s="78"/>
      <c r="AC283" s="78">
        <f t="shared" si="307"/>
        <v>5920</v>
      </c>
      <c r="AD283" s="78"/>
      <c r="AE283" s="78">
        <f t="shared" si="308"/>
        <v>5920</v>
      </c>
      <c r="AF283" s="78"/>
      <c r="AG283" s="78">
        <f t="shared" si="309"/>
        <v>5920</v>
      </c>
      <c r="AH283" s="78"/>
      <c r="AI283" s="78">
        <f t="shared" si="310"/>
        <v>5920</v>
      </c>
      <c r="AJ283" s="78">
        <f>30-1970</f>
        <v>-1940</v>
      </c>
      <c r="AK283" s="78">
        <f t="shared" si="311"/>
        <v>3980</v>
      </c>
      <c r="AL283" s="78"/>
      <c r="AM283" s="78">
        <f t="shared" si="312"/>
        <v>3980</v>
      </c>
    </row>
    <row r="284" spans="1:39" s="23" customFormat="1" ht="21" customHeight="1">
      <c r="A284" s="64"/>
      <c r="B284" s="79"/>
      <c r="C284" s="83">
        <v>4260</v>
      </c>
      <c r="D284" s="37" t="s">
        <v>94</v>
      </c>
      <c r="E284" s="78">
        <v>10740</v>
      </c>
      <c r="F284" s="78"/>
      <c r="G284" s="78">
        <f t="shared" si="296"/>
        <v>10740</v>
      </c>
      <c r="H284" s="78"/>
      <c r="I284" s="78">
        <f t="shared" si="297"/>
        <v>10740</v>
      </c>
      <c r="J284" s="78"/>
      <c r="K284" s="78">
        <f t="shared" si="298"/>
        <v>10740</v>
      </c>
      <c r="L284" s="78"/>
      <c r="M284" s="78">
        <f t="shared" si="299"/>
        <v>10740</v>
      </c>
      <c r="N284" s="78"/>
      <c r="O284" s="78">
        <f t="shared" si="300"/>
        <v>10740</v>
      </c>
      <c r="P284" s="78"/>
      <c r="Q284" s="78">
        <f t="shared" si="301"/>
        <v>10740</v>
      </c>
      <c r="R284" s="78"/>
      <c r="S284" s="78">
        <f t="shared" si="302"/>
        <v>10740</v>
      </c>
      <c r="T284" s="78"/>
      <c r="U284" s="78">
        <f t="shared" si="303"/>
        <v>10740</v>
      </c>
      <c r="V284" s="78"/>
      <c r="W284" s="78">
        <f t="shared" si="304"/>
        <v>10740</v>
      </c>
      <c r="X284" s="78"/>
      <c r="Y284" s="78">
        <f t="shared" si="305"/>
        <v>10740</v>
      </c>
      <c r="Z284" s="78"/>
      <c r="AA284" s="78">
        <f t="shared" si="306"/>
        <v>10740</v>
      </c>
      <c r="AB284" s="78"/>
      <c r="AC284" s="78">
        <f t="shared" si="307"/>
        <v>10740</v>
      </c>
      <c r="AD284" s="78"/>
      <c r="AE284" s="78">
        <f t="shared" si="308"/>
        <v>10740</v>
      </c>
      <c r="AF284" s="78"/>
      <c r="AG284" s="78">
        <f t="shared" si="309"/>
        <v>10740</v>
      </c>
      <c r="AH284" s="78"/>
      <c r="AI284" s="78">
        <f t="shared" si="310"/>
        <v>10740</v>
      </c>
      <c r="AJ284" s="78">
        <v>-4050</v>
      </c>
      <c r="AK284" s="78">
        <f t="shared" si="311"/>
        <v>6690</v>
      </c>
      <c r="AL284" s="78"/>
      <c r="AM284" s="78">
        <f t="shared" si="312"/>
        <v>6690</v>
      </c>
    </row>
    <row r="285" spans="1:39" s="23" customFormat="1" ht="21" customHeight="1">
      <c r="A285" s="64"/>
      <c r="B285" s="79"/>
      <c r="C285" s="83">
        <v>4270</v>
      </c>
      <c r="D285" s="37" t="s">
        <v>77</v>
      </c>
      <c r="E285" s="78">
        <v>2000</v>
      </c>
      <c r="F285" s="78"/>
      <c r="G285" s="78">
        <f t="shared" si="296"/>
        <v>2000</v>
      </c>
      <c r="H285" s="78"/>
      <c r="I285" s="78">
        <f t="shared" si="297"/>
        <v>2000</v>
      </c>
      <c r="J285" s="78"/>
      <c r="K285" s="78">
        <f t="shared" si="298"/>
        <v>2000</v>
      </c>
      <c r="L285" s="78"/>
      <c r="M285" s="78">
        <f t="shared" si="299"/>
        <v>2000</v>
      </c>
      <c r="N285" s="78"/>
      <c r="O285" s="78">
        <f t="shared" si="300"/>
        <v>2000</v>
      </c>
      <c r="P285" s="78"/>
      <c r="Q285" s="78">
        <f t="shared" si="301"/>
        <v>2000</v>
      </c>
      <c r="R285" s="78"/>
      <c r="S285" s="78">
        <f t="shared" si="302"/>
        <v>2000</v>
      </c>
      <c r="T285" s="78"/>
      <c r="U285" s="78">
        <f t="shared" si="303"/>
        <v>2000</v>
      </c>
      <c r="V285" s="78"/>
      <c r="W285" s="78">
        <f t="shared" si="304"/>
        <v>2000</v>
      </c>
      <c r="X285" s="78"/>
      <c r="Y285" s="78">
        <f t="shared" si="305"/>
        <v>2000</v>
      </c>
      <c r="Z285" s="78"/>
      <c r="AA285" s="78">
        <f t="shared" si="306"/>
        <v>2000</v>
      </c>
      <c r="AB285" s="78"/>
      <c r="AC285" s="78">
        <f t="shared" si="307"/>
        <v>2000</v>
      </c>
      <c r="AD285" s="78"/>
      <c r="AE285" s="78">
        <f t="shared" si="308"/>
        <v>2000</v>
      </c>
      <c r="AF285" s="78"/>
      <c r="AG285" s="78">
        <f t="shared" si="309"/>
        <v>2000</v>
      </c>
      <c r="AH285" s="78"/>
      <c r="AI285" s="78">
        <f t="shared" si="310"/>
        <v>2000</v>
      </c>
      <c r="AJ285" s="78">
        <v>700</v>
      </c>
      <c r="AK285" s="78">
        <f t="shared" si="311"/>
        <v>2700</v>
      </c>
      <c r="AL285" s="78"/>
      <c r="AM285" s="78">
        <f t="shared" si="312"/>
        <v>2700</v>
      </c>
    </row>
    <row r="286" spans="1:39" s="23" customFormat="1" ht="21" customHeight="1">
      <c r="A286" s="64"/>
      <c r="B286" s="79"/>
      <c r="C286" s="83">
        <v>4280</v>
      </c>
      <c r="D286" s="37" t="s">
        <v>196</v>
      </c>
      <c r="E286" s="78">
        <v>600</v>
      </c>
      <c r="F286" s="78"/>
      <c r="G286" s="78">
        <f t="shared" si="296"/>
        <v>600</v>
      </c>
      <c r="H286" s="78"/>
      <c r="I286" s="78">
        <f t="shared" si="297"/>
        <v>600</v>
      </c>
      <c r="J286" s="78"/>
      <c r="K286" s="78">
        <f t="shared" si="298"/>
        <v>600</v>
      </c>
      <c r="L286" s="78"/>
      <c r="M286" s="78">
        <f t="shared" si="299"/>
        <v>600</v>
      </c>
      <c r="N286" s="78"/>
      <c r="O286" s="78">
        <f t="shared" si="300"/>
        <v>600</v>
      </c>
      <c r="P286" s="78"/>
      <c r="Q286" s="78">
        <f t="shared" si="301"/>
        <v>600</v>
      </c>
      <c r="R286" s="78"/>
      <c r="S286" s="78">
        <f t="shared" si="302"/>
        <v>600</v>
      </c>
      <c r="T286" s="78"/>
      <c r="U286" s="78">
        <f t="shared" si="303"/>
        <v>600</v>
      </c>
      <c r="V286" s="78"/>
      <c r="W286" s="78">
        <f t="shared" si="304"/>
        <v>600</v>
      </c>
      <c r="X286" s="78"/>
      <c r="Y286" s="78">
        <f t="shared" si="305"/>
        <v>600</v>
      </c>
      <c r="Z286" s="78"/>
      <c r="AA286" s="78">
        <f t="shared" si="306"/>
        <v>600</v>
      </c>
      <c r="AB286" s="78"/>
      <c r="AC286" s="78">
        <f t="shared" si="307"/>
        <v>600</v>
      </c>
      <c r="AD286" s="78"/>
      <c r="AE286" s="78">
        <f t="shared" si="308"/>
        <v>600</v>
      </c>
      <c r="AF286" s="78"/>
      <c r="AG286" s="78">
        <f t="shared" si="309"/>
        <v>600</v>
      </c>
      <c r="AH286" s="78"/>
      <c r="AI286" s="78">
        <f t="shared" si="310"/>
        <v>600</v>
      </c>
      <c r="AJ286" s="78"/>
      <c r="AK286" s="78">
        <f t="shared" si="311"/>
        <v>600</v>
      </c>
      <c r="AL286" s="78"/>
      <c r="AM286" s="78">
        <f t="shared" si="312"/>
        <v>600</v>
      </c>
    </row>
    <row r="287" spans="1:39" s="23" customFormat="1" ht="21" customHeight="1">
      <c r="A287" s="64"/>
      <c r="B287" s="79"/>
      <c r="C287" s="83">
        <v>4300</v>
      </c>
      <c r="D287" s="37" t="s">
        <v>78</v>
      </c>
      <c r="E287" s="78">
        <v>2600</v>
      </c>
      <c r="F287" s="78"/>
      <c r="G287" s="78">
        <f t="shared" si="296"/>
        <v>2600</v>
      </c>
      <c r="H287" s="78"/>
      <c r="I287" s="78">
        <f t="shared" si="297"/>
        <v>2600</v>
      </c>
      <c r="J287" s="78"/>
      <c r="K287" s="78">
        <f t="shared" si="298"/>
        <v>2600</v>
      </c>
      <c r="L287" s="78"/>
      <c r="M287" s="78">
        <f t="shared" si="299"/>
        <v>2600</v>
      </c>
      <c r="N287" s="78"/>
      <c r="O287" s="78">
        <f t="shared" si="300"/>
        <v>2600</v>
      </c>
      <c r="P287" s="78"/>
      <c r="Q287" s="78">
        <f t="shared" si="301"/>
        <v>2600</v>
      </c>
      <c r="R287" s="78"/>
      <c r="S287" s="78">
        <f t="shared" si="302"/>
        <v>2600</v>
      </c>
      <c r="T287" s="78"/>
      <c r="U287" s="78">
        <f t="shared" si="303"/>
        <v>2600</v>
      </c>
      <c r="V287" s="78"/>
      <c r="W287" s="78">
        <f t="shared" si="304"/>
        <v>2600</v>
      </c>
      <c r="X287" s="78"/>
      <c r="Y287" s="78">
        <f t="shared" si="305"/>
        <v>2600</v>
      </c>
      <c r="Z287" s="78"/>
      <c r="AA287" s="78">
        <f t="shared" si="306"/>
        <v>2600</v>
      </c>
      <c r="AB287" s="78"/>
      <c r="AC287" s="78">
        <f t="shared" si="307"/>
        <v>2600</v>
      </c>
      <c r="AD287" s="78"/>
      <c r="AE287" s="78">
        <f t="shared" si="308"/>
        <v>2600</v>
      </c>
      <c r="AF287" s="78"/>
      <c r="AG287" s="78">
        <f t="shared" si="309"/>
        <v>2600</v>
      </c>
      <c r="AH287" s="78"/>
      <c r="AI287" s="78">
        <f t="shared" si="310"/>
        <v>2600</v>
      </c>
      <c r="AJ287" s="78">
        <v>1600</v>
      </c>
      <c r="AK287" s="78">
        <f t="shared" si="311"/>
        <v>4200</v>
      </c>
      <c r="AL287" s="78"/>
      <c r="AM287" s="78">
        <f t="shared" si="312"/>
        <v>4200</v>
      </c>
    </row>
    <row r="288" spans="1:39" s="23" customFormat="1" ht="49.5" customHeight="1">
      <c r="A288" s="64"/>
      <c r="B288" s="79"/>
      <c r="C288" s="83">
        <v>4370</v>
      </c>
      <c r="D288" s="37" t="s">
        <v>362</v>
      </c>
      <c r="E288" s="78">
        <v>2000</v>
      </c>
      <c r="F288" s="78"/>
      <c r="G288" s="78">
        <f t="shared" si="296"/>
        <v>2000</v>
      </c>
      <c r="H288" s="78"/>
      <c r="I288" s="78">
        <f t="shared" si="297"/>
        <v>2000</v>
      </c>
      <c r="J288" s="78"/>
      <c r="K288" s="78">
        <f t="shared" si="298"/>
        <v>2000</v>
      </c>
      <c r="L288" s="78"/>
      <c r="M288" s="78">
        <f t="shared" si="299"/>
        <v>2000</v>
      </c>
      <c r="N288" s="78"/>
      <c r="O288" s="78">
        <f t="shared" si="300"/>
        <v>2000</v>
      </c>
      <c r="P288" s="78"/>
      <c r="Q288" s="78">
        <f t="shared" si="301"/>
        <v>2000</v>
      </c>
      <c r="R288" s="78"/>
      <c r="S288" s="78">
        <f t="shared" si="302"/>
        <v>2000</v>
      </c>
      <c r="T288" s="78"/>
      <c r="U288" s="78">
        <f t="shared" si="303"/>
        <v>2000</v>
      </c>
      <c r="V288" s="78"/>
      <c r="W288" s="78">
        <f t="shared" si="304"/>
        <v>2000</v>
      </c>
      <c r="X288" s="78"/>
      <c r="Y288" s="78">
        <f t="shared" si="305"/>
        <v>2000</v>
      </c>
      <c r="Z288" s="78"/>
      <c r="AA288" s="78">
        <f t="shared" si="306"/>
        <v>2000</v>
      </c>
      <c r="AB288" s="78"/>
      <c r="AC288" s="78">
        <f t="shared" si="307"/>
        <v>2000</v>
      </c>
      <c r="AD288" s="78"/>
      <c r="AE288" s="78">
        <f t="shared" si="308"/>
        <v>2000</v>
      </c>
      <c r="AF288" s="78"/>
      <c r="AG288" s="78">
        <f t="shared" si="309"/>
        <v>2000</v>
      </c>
      <c r="AH288" s="78"/>
      <c r="AI288" s="78">
        <f t="shared" si="310"/>
        <v>2000</v>
      </c>
      <c r="AJ288" s="78">
        <v>-700</v>
      </c>
      <c r="AK288" s="78">
        <f t="shared" si="311"/>
        <v>1300</v>
      </c>
      <c r="AL288" s="78"/>
      <c r="AM288" s="78">
        <f t="shared" si="312"/>
        <v>1300</v>
      </c>
    </row>
    <row r="289" spans="1:39" s="23" customFormat="1" ht="27.75" customHeight="1">
      <c r="A289" s="64"/>
      <c r="B289" s="79"/>
      <c r="C289" s="83">
        <v>4390</v>
      </c>
      <c r="D289" s="37" t="s">
        <v>239</v>
      </c>
      <c r="E289" s="78">
        <v>1000</v>
      </c>
      <c r="F289" s="78"/>
      <c r="G289" s="78">
        <f t="shared" si="296"/>
        <v>1000</v>
      </c>
      <c r="H289" s="78"/>
      <c r="I289" s="78">
        <f t="shared" si="297"/>
        <v>1000</v>
      </c>
      <c r="J289" s="78"/>
      <c r="K289" s="78">
        <f t="shared" si="298"/>
        <v>1000</v>
      </c>
      <c r="L289" s="78"/>
      <c r="M289" s="78">
        <f t="shared" si="299"/>
        <v>1000</v>
      </c>
      <c r="N289" s="78"/>
      <c r="O289" s="78">
        <f t="shared" si="300"/>
        <v>1000</v>
      </c>
      <c r="P289" s="78"/>
      <c r="Q289" s="78">
        <f t="shared" si="301"/>
        <v>1000</v>
      </c>
      <c r="R289" s="78"/>
      <c r="S289" s="78">
        <f t="shared" si="302"/>
        <v>1000</v>
      </c>
      <c r="T289" s="78"/>
      <c r="U289" s="78">
        <f t="shared" si="303"/>
        <v>1000</v>
      </c>
      <c r="V289" s="78"/>
      <c r="W289" s="78">
        <f t="shared" si="304"/>
        <v>1000</v>
      </c>
      <c r="X289" s="78"/>
      <c r="Y289" s="78">
        <f t="shared" si="305"/>
        <v>1000</v>
      </c>
      <c r="Z289" s="78"/>
      <c r="AA289" s="78">
        <f t="shared" si="306"/>
        <v>1000</v>
      </c>
      <c r="AB289" s="78"/>
      <c r="AC289" s="78">
        <f t="shared" si="307"/>
        <v>1000</v>
      </c>
      <c r="AD289" s="78"/>
      <c r="AE289" s="78">
        <f t="shared" si="308"/>
        <v>1000</v>
      </c>
      <c r="AF289" s="78"/>
      <c r="AG289" s="78">
        <f t="shared" si="309"/>
        <v>1000</v>
      </c>
      <c r="AH289" s="78"/>
      <c r="AI289" s="78">
        <f t="shared" si="310"/>
        <v>1000</v>
      </c>
      <c r="AJ289" s="78">
        <v>-300</v>
      </c>
      <c r="AK289" s="78">
        <f t="shared" si="311"/>
        <v>700</v>
      </c>
      <c r="AL289" s="78"/>
      <c r="AM289" s="78">
        <f t="shared" si="312"/>
        <v>700</v>
      </c>
    </row>
    <row r="290" spans="1:39" s="23" customFormat="1" ht="27.75" customHeight="1">
      <c r="A290" s="64"/>
      <c r="B290" s="79"/>
      <c r="C290" s="83">
        <v>4440</v>
      </c>
      <c r="D290" s="37" t="s">
        <v>113</v>
      </c>
      <c r="E290" s="78">
        <v>25226</v>
      </c>
      <c r="F290" s="78"/>
      <c r="G290" s="78">
        <f t="shared" si="296"/>
        <v>25226</v>
      </c>
      <c r="H290" s="78"/>
      <c r="I290" s="78">
        <f t="shared" si="297"/>
        <v>25226</v>
      </c>
      <c r="J290" s="78"/>
      <c r="K290" s="78">
        <f t="shared" si="298"/>
        <v>25226</v>
      </c>
      <c r="L290" s="78"/>
      <c r="M290" s="78">
        <f t="shared" si="299"/>
        <v>25226</v>
      </c>
      <c r="N290" s="78"/>
      <c r="O290" s="78">
        <f t="shared" si="300"/>
        <v>25226</v>
      </c>
      <c r="P290" s="78"/>
      <c r="Q290" s="78">
        <f t="shared" si="301"/>
        <v>25226</v>
      </c>
      <c r="R290" s="78"/>
      <c r="S290" s="78">
        <f t="shared" si="302"/>
        <v>25226</v>
      </c>
      <c r="T290" s="78"/>
      <c r="U290" s="78">
        <f t="shared" si="303"/>
        <v>25226</v>
      </c>
      <c r="V290" s="78"/>
      <c r="W290" s="78">
        <f t="shared" si="304"/>
        <v>25226</v>
      </c>
      <c r="X290" s="78"/>
      <c r="Y290" s="78">
        <f t="shared" si="305"/>
        <v>25226</v>
      </c>
      <c r="Z290" s="78"/>
      <c r="AA290" s="78">
        <f t="shared" si="306"/>
        <v>25226</v>
      </c>
      <c r="AB290" s="78"/>
      <c r="AC290" s="78">
        <f t="shared" si="307"/>
        <v>25226</v>
      </c>
      <c r="AD290" s="78"/>
      <c r="AE290" s="78">
        <f t="shared" si="308"/>
        <v>25226</v>
      </c>
      <c r="AF290" s="78"/>
      <c r="AG290" s="78">
        <f t="shared" si="309"/>
        <v>25226</v>
      </c>
      <c r="AH290" s="78"/>
      <c r="AI290" s="78">
        <f t="shared" si="310"/>
        <v>25226</v>
      </c>
      <c r="AJ290" s="78"/>
      <c r="AK290" s="78">
        <f t="shared" si="311"/>
        <v>25226</v>
      </c>
      <c r="AL290" s="78"/>
      <c r="AM290" s="78">
        <f t="shared" si="312"/>
        <v>25226</v>
      </c>
    </row>
    <row r="291" spans="1:39" s="23" customFormat="1" ht="33.75">
      <c r="A291" s="64"/>
      <c r="B291" s="79"/>
      <c r="C291" s="83">
        <v>4740</v>
      </c>
      <c r="D291" s="37" t="s">
        <v>249</v>
      </c>
      <c r="E291" s="78">
        <v>200</v>
      </c>
      <c r="F291" s="78"/>
      <c r="G291" s="78">
        <f t="shared" si="296"/>
        <v>200</v>
      </c>
      <c r="H291" s="78"/>
      <c r="I291" s="78">
        <f t="shared" si="297"/>
        <v>200</v>
      </c>
      <c r="J291" s="78"/>
      <c r="K291" s="78">
        <f t="shared" si="298"/>
        <v>200</v>
      </c>
      <c r="L291" s="78"/>
      <c r="M291" s="78">
        <f t="shared" si="299"/>
        <v>200</v>
      </c>
      <c r="N291" s="78"/>
      <c r="O291" s="78">
        <f t="shared" si="300"/>
        <v>200</v>
      </c>
      <c r="P291" s="78"/>
      <c r="Q291" s="78">
        <f t="shared" si="301"/>
        <v>200</v>
      </c>
      <c r="R291" s="78"/>
      <c r="S291" s="78">
        <f t="shared" si="302"/>
        <v>200</v>
      </c>
      <c r="T291" s="78"/>
      <c r="U291" s="78">
        <f t="shared" si="303"/>
        <v>200</v>
      </c>
      <c r="V291" s="78"/>
      <c r="W291" s="78">
        <f t="shared" si="304"/>
        <v>200</v>
      </c>
      <c r="X291" s="78"/>
      <c r="Y291" s="78">
        <f t="shared" si="305"/>
        <v>200</v>
      </c>
      <c r="Z291" s="78"/>
      <c r="AA291" s="78">
        <f t="shared" si="306"/>
        <v>200</v>
      </c>
      <c r="AB291" s="78"/>
      <c r="AC291" s="78">
        <f t="shared" si="307"/>
        <v>200</v>
      </c>
      <c r="AD291" s="78"/>
      <c r="AE291" s="78">
        <f t="shared" si="308"/>
        <v>200</v>
      </c>
      <c r="AF291" s="78"/>
      <c r="AG291" s="78">
        <f t="shared" si="309"/>
        <v>200</v>
      </c>
      <c r="AH291" s="78"/>
      <c r="AI291" s="78">
        <f t="shared" si="310"/>
        <v>200</v>
      </c>
      <c r="AJ291" s="78">
        <v>300</v>
      </c>
      <c r="AK291" s="78">
        <f t="shared" si="311"/>
        <v>500</v>
      </c>
      <c r="AL291" s="78"/>
      <c r="AM291" s="78">
        <f t="shared" si="312"/>
        <v>500</v>
      </c>
    </row>
    <row r="292" spans="1:39" s="23" customFormat="1" ht="21" customHeight="1">
      <c r="A292" s="85"/>
      <c r="B292" s="79" t="s">
        <v>112</v>
      </c>
      <c r="C292" s="83"/>
      <c r="D292" s="37" t="s">
        <v>123</v>
      </c>
      <c r="E292" s="78">
        <f aca="true" t="shared" si="313" ref="E292:J292">SUM(E294:E296)</f>
        <v>3712917</v>
      </c>
      <c r="F292" s="78">
        <f t="shared" si="313"/>
        <v>40000</v>
      </c>
      <c r="G292" s="78">
        <f t="shared" si="313"/>
        <v>3752917</v>
      </c>
      <c r="H292" s="78">
        <f t="shared" si="313"/>
        <v>0</v>
      </c>
      <c r="I292" s="78">
        <f t="shared" si="313"/>
        <v>3752917</v>
      </c>
      <c r="J292" s="78">
        <f t="shared" si="313"/>
        <v>0</v>
      </c>
      <c r="K292" s="78">
        <f aca="true" t="shared" si="314" ref="K292:W292">SUM(K293:K296)</f>
        <v>3752917</v>
      </c>
      <c r="L292" s="78">
        <f t="shared" si="314"/>
        <v>7860</v>
      </c>
      <c r="M292" s="78">
        <f t="shared" si="314"/>
        <v>3760777</v>
      </c>
      <c r="N292" s="78">
        <f t="shared" si="314"/>
        <v>0</v>
      </c>
      <c r="O292" s="78">
        <f t="shared" si="314"/>
        <v>3760777</v>
      </c>
      <c r="P292" s="78">
        <f t="shared" si="314"/>
        <v>0</v>
      </c>
      <c r="Q292" s="78">
        <f t="shared" si="314"/>
        <v>3760777</v>
      </c>
      <c r="R292" s="78">
        <f t="shared" si="314"/>
        <v>0</v>
      </c>
      <c r="S292" s="78">
        <f t="shared" si="314"/>
        <v>3760777</v>
      </c>
      <c r="T292" s="78">
        <f t="shared" si="314"/>
        <v>0</v>
      </c>
      <c r="U292" s="78">
        <f t="shared" si="314"/>
        <v>3760777</v>
      </c>
      <c r="V292" s="78">
        <f t="shared" si="314"/>
        <v>0</v>
      </c>
      <c r="W292" s="78">
        <f t="shared" si="314"/>
        <v>3760777</v>
      </c>
      <c r="X292" s="78">
        <f aca="true" t="shared" si="315" ref="X292:AC292">SUM(X293:X296)</f>
        <v>0</v>
      </c>
      <c r="Y292" s="78">
        <f t="shared" si="315"/>
        <v>3760777</v>
      </c>
      <c r="Z292" s="78">
        <f t="shared" si="315"/>
        <v>0</v>
      </c>
      <c r="AA292" s="78">
        <f t="shared" si="315"/>
        <v>3760777</v>
      </c>
      <c r="AB292" s="78">
        <f t="shared" si="315"/>
        <v>0</v>
      </c>
      <c r="AC292" s="78">
        <f t="shared" si="315"/>
        <v>3760777</v>
      </c>
      <c r="AD292" s="78">
        <f aca="true" t="shared" si="316" ref="AD292:AI292">SUM(AD293:AD296)</f>
        <v>5243</v>
      </c>
      <c r="AE292" s="78">
        <f t="shared" si="316"/>
        <v>3766020</v>
      </c>
      <c r="AF292" s="78">
        <f t="shared" si="316"/>
        <v>64362</v>
      </c>
      <c r="AG292" s="78">
        <f t="shared" si="316"/>
        <v>3830382</v>
      </c>
      <c r="AH292" s="78">
        <f t="shared" si="316"/>
        <v>0</v>
      </c>
      <c r="AI292" s="78">
        <f t="shared" si="316"/>
        <v>3830382</v>
      </c>
      <c r="AJ292" s="78">
        <f>SUM(AJ293:AJ296)</f>
        <v>186808</v>
      </c>
      <c r="AK292" s="78">
        <f>SUM(AK293:AK296)</f>
        <v>4017190</v>
      </c>
      <c r="AL292" s="78">
        <f>SUM(AL293:AL296)</f>
        <v>0</v>
      </c>
      <c r="AM292" s="78">
        <f>SUM(AM293:AM296)</f>
        <v>4017190</v>
      </c>
    </row>
    <row r="293" spans="1:39" s="23" customFormat="1" ht="54" customHeight="1">
      <c r="A293" s="85"/>
      <c r="B293" s="79"/>
      <c r="C293" s="83">
        <v>2310</v>
      </c>
      <c r="D293" s="37" t="s">
        <v>345</v>
      </c>
      <c r="E293" s="78"/>
      <c r="F293" s="78"/>
      <c r="G293" s="78"/>
      <c r="H293" s="78"/>
      <c r="I293" s="78"/>
      <c r="J293" s="78"/>
      <c r="K293" s="78">
        <v>0</v>
      </c>
      <c r="L293" s="78">
        <v>7860</v>
      </c>
      <c r="M293" s="78">
        <f>SUM(K293:L293)</f>
        <v>7860</v>
      </c>
      <c r="N293" s="78"/>
      <c r="O293" s="78">
        <f>SUM(M293:N293)</f>
        <v>7860</v>
      </c>
      <c r="P293" s="78"/>
      <c r="Q293" s="78">
        <f>SUM(O293:P293)</f>
        <v>7860</v>
      </c>
      <c r="R293" s="78"/>
      <c r="S293" s="78">
        <f>SUM(Q293:R293)</f>
        <v>7860</v>
      </c>
      <c r="T293" s="78"/>
      <c r="U293" s="78">
        <f>SUM(S293:T293)</f>
        <v>7860</v>
      </c>
      <c r="V293" s="78"/>
      <c r="W293" s="78">
        <f>SUM(U293:V293)</f>
        <v>7860</v>
      </c>
      <c r="X293" s="78"/>
      <c r="Y293" s="78">
        <f>SUM(W293:X293)</f>
        <v>7860</v>
      </c>
      <c r="Z293" s="78"/>
      <c r="AA293" s="78">
        <f>SUM(Y293:Z293)</f>
        <v>7860</v>
      </c>
      <c r="AB293" s="78"/>
      <c r="AC293" s="78">
        <f>SUM(AA293:AB293)</f>
        <v>7860</v>
      </c>
      <c r="AD293" s="78"/>
      <c r="AE293" s="78">
        <f>SUM(AC293:AD293)</f>
        <v>7860</v>
      </c>
      <c r="AF293" s="78"/>
      <c r="AG293" s="78">
        <f>SUM(AE293:AF293)</f>
        <v>7860</v>
      </c>
      <c r="AH293" s="78"/>
      <c r="AI293" s="78">
        <f>SUM(AG293:AH293)</f>
        <v>7860</v>
      </c>
      <c r="AJ293" s="78">
        <v>5200</v>
      </c>
      <c r="AK293" s="78">
        <f>SUM(AI293:AJ293)</f>
        <v>13060</v>
      </c>
      <c r="AL293" s="78"/>
      <c r="AM293" s="78">
        <f>SUM(AK293:AL293)</f>
        <v>13060</v>
      </c>
    </row>
    <row r="294" spans="1:39" s="23" customFormat="1" ht="27" customHeight="1">
      <c r="A294" s="85"/>
      <c r="B294" s="79"/>
      <c r="C294" s="83">
        <v>2510</v>
      </c>
      <c r="D294" s="37" t="s">
        <v>124</v>
      </c>
      <c r="E294" s="78">
        <v>3632917</v>
      </c>
      <c r="F294" s="78"/>
      <c r="G294" s="78">
        <f>SUM(E294:F294)</f>
        <v>3632917</v>
      </c>
      <c r="H294" s="78"/>
      <c r="I294" s="78">
        <f>SUM(G294:H294)</f>
        <v>3632917</v>
      </c>
      <c r="J294" s="78"/>
      <c r="K294" s="78">
        <f>SUM(I294:J294)</f>
        <v>3632917</v>
      </c>
      <c r="L294" s="78"/>
      <c r="M294" s="78">
        <f>SUM(K294:L294)</f>
        <v>3632917</v>
      </c>
      <c r="N294" s="78"/>
      <c r="O294" s="78">
        <f>SUM(M294:N294)</f>
        <v>3632917</v>
      </c>
      <c r="P294" s="78"/>
      <c r="Q294" s="78">
        <f>SUM(O294:P294)</f>
        <v>3632917</v>
      </c>
      <c r="R294" s="78"/>
      <c r="S294" s="78">
        <f>SUM(Q294:R294)</f>
        <v>3632917</v>
      </c>
      <c r="T294" s="78"/>
      <c r="U294" s="78">
        <f>SUM(S294:T294)</f>
        <v>3632917</v>
      </c>
      <c r="V294" s="78"/>
      <c r="W294" s="78">
        <f>SUM(U294:V294)</f>
        <v>3632917</v>
      </c>
      <c r="X294" s="78"/>
      <c r="Y294" s="78">
        <f>SUM(W294:X294)</f>
        <v>3632917</v>
      </c>
      <c r="Z294" s="78"/>
      <c r="AA294" s="78">
        <f>SUM(Y294:Z294)</f>
        <v>3632917</v>
      </c>
      <c r="AB294" s="78"/>
      <c r="AC294" s="78">
        <f>SUM(AA294:AB294)</f>
        <v>3632917</v>
      </c>
      <c r="AD294" s="78">
        <v>27243</v>
      </c>
      <c r="AE294" s="78">
        <f>SUM(AC294:AD294)</f>
        <v>3660160</v>
      </c>
      <c r="AF294" s="78">
        <v>64362</v>
      </c>
      <c r="AG294" s="78">
        <f>SUM(AE294:AF294)</f>
        <v>3724522</v>
      </c>
      <c r="AH294" s="78"/>
      <c r="AI294" s="78">
        <f>SUM(AG294:AH294)</f>
        <v>3724522</v>
      </c>
      <c r="AJ294" s="78">
        <f>172073+2703+6832</f>
        <v>181608</v>
      </c>
      <c r="AK294" s="78">
        <f>SUM(AI294:AJ294)</f>
        <v>3906130</v>
      </c>
      <c r="AL294" s="78"/>
      <c r="AM294" s="78">
        <f>SUM(AK294:AL294)</f>
        <v>3906130</v>
      </c>
    </row>
    <row r="295" spans="1:42" s="23" customFormat="1" ht="18.75" customHeight="1">
      <c r="A295" s="85"/>
      <c r="B295" s="79"/>
      <c r="C295" s="83">
        <v>4170</v>
      </c>
      <c r="D295" s="37" t="s">
        <v>189</v>
      </c>
      <c r="E295" s="78"/>
      <c r="F295" s="78"/>
      <c r="G295" s="78"/>
      <c r="H295" s="78"/>
      <c r="I295" s="78"/>
      <c r="J295" s="78"/>
      <c r="K295" s="78">
        <v>0</v>
      </c>
      <c r="L295" s="78">
        <v>1000</v>
      </c>
      <c r="M295" s="78">
        <f>SUM(K295:L295)</f>
        <v>1000</v>
      </c>
      <c r="N295" s="78"/>
      <c r="O295" s="78">
        <f>SUM(M295:N295)</f>
        <v>1000</v>
      </c>
      <c r="P295" s="78"/>
      <c r="Q295" s="78">
        <f>SUM(O295:P295)</f>
        <v>1000</v>
      </c>
      <c r="R295" s="78"/>
      <c r="S295" s="78">
        <f>SUM(Q295:R295)</f>
        <v>1000</v>
      </c>
      <c r="T295" s="78"/>
      <c r="U295" s="78">
        <f>SUM(S295:T295)</f>
        <v>1000</v>
      </c>
      <c r="V295" s="78"/>
      <c r="W295" s="78">
        <f>SUM(U295:V295)</f>
        <v>1000</v>
      </c>
      <c r="X295" s="78"/>
      <c r="Y295" s="78">
        <f>SUM(W295:X295)</f>
        <v>1000</v>
      </c>
      <c r="Z295" s="78"/>
      <c r="AA295" s="78">
        <f>SUM(Y295:Z295)</f>
        <v>1000</v>
      </c>
      <c r="AB295" s="78"/>
      <c r="AC295" s="78">
        <f>SUM(AA295:AB295)</f>
        <v>1000</v>
      </c>
      <c r="AD295" s="78"/>
      <c r="AE295" s="78">
        <f>SUM(AC295:AD295)</f>
        <v>1000</v>
      </c>
      <c r="AF295" s="78"/>
      <c r="AG295" s="78">
        <f>SUM(AE295:AF295)</f>
        <v>1000</v>
      </c>
      <c r="AH295" s="78"/>
      <c r="AI295" s="78">
        <f>SUM(AG295:AH295)</f>
        <v>1000</v>
      </c>
      <c r="AJ295" s="78"/>
      <c r="AK295" s="78">
        <f>SUM(AI295:AJ295)</f>
        <v>1000</v>
      </c>
      <c r="AL295" s="78"/>
      <c r="AM295" s="78">
        <f>SUM(AK295:AL295)</f>
        <v>1000</v>
      </c>
      <c r="AN295" s="113"/>
      <c r="AO295" s="113"/>
      <c r="AP295" s="113"/>
    </row>
    <row r="296" spans="1:39" s="23" customFormat="1" ht="21" customHeight="1">
      <c r="A296" s="85"/>
      <c r="B296" s="79"/>
      <c r="C296" s="83">
        <v>4270</v>
      </c>
      <c r="D296" s="37" t="s">
        <v>77</v>
      </c>
      <c r="E296" s="78">
        <v>80000</v>
      </c>
      <c r="F296" s="78">
        <v>40000</v>
      </c>
      <c r="G296" s="78">
        <f>SUM(E296:F296)</f>
        <v>120000</v>
      </c>
      <c r="H296" s="78"/>
      <c r="I296" s="78">
        <f>SUM(G296:H296)</f>
        <v>120000</v>
      </c>
      <c r="J296" s="78"/>
      <c r="K296" s="78">
        <f>SUM(I296:J296)</f>
        <v>120000</v>
      </c>
      <c r="L296" s="78">
        <v>-1000</v>
      </c>
      <c r="M296" s="78">
        <f>SUM(K296:L296)</f>
        <v>119000</v>
      </c>
      <c r="N296" s="78"/>
      <c r="O296" s="78">
        <f>SUM(M296:N296)</f>
        <v>119000</v>
      </c>
      <c r="P296" s="78"/>
      <c r="Q296" s="78">
        <f>SUM(O296:P296)</f>
        <v>119000</v>
      </c>
      <c r="R296" s="78"/>
      <c r="S296" s="78">
        <f>SUM(Q296:R296)</f>
        <v>119000</v>
      </c>
      <c r="T296" s="78"/>
      <c r="U296" s="78">
        <f>SUM(S296:T296)</f>
        <v>119000</v>
      </c>
      <c r="V296" s="78"/>
      <c r="W296" s="78">
        <f>SUM(U296:V296)</f>
        <v>119000</v>
      </c>
      <c r="X296" s="78"/>
      <c r="Y296" s="78">
        <f>SUM(W296:X296)</f>
        <v>119000</v>
      </c>
      <c r="Z296" s="78"/>
      <c r="AA296" s="78">
        <f>SUM(Y296:Z296)</f>
        <v>119000</v>
      </c>
      <c r="AB296" s="78"/>
      <c r="AC296" s="78">
        <f>SUM(AA296:AB296)</f>
        <v>119000</v>
      </c>
      <c r="AD296" s="78">
        <v>-22000</v>
      </c>
      <c r="AE296" s="78">
        <f>SUM(AC296:AD296)</f>
        <v>97000</v>
      </c>
      <c r="AF296" s="78"/>
      <c r="AG296" s="78">
        <f>SUM(AE296:AF296)</f>
        <v>97000</v>
      </c>
      <c r="AH296" s="78"/>
      <c r="AI296" s="78">
        <f>SUM(AG296:AH296)</f>
        <v>97000</v>
      </c>
      <c r="AJ296" s="78"/>
      <c r="AK296" s="78">
        <f>SUM(AI296:AJ296)</f>
        <v>97000</v>
      </c>
      <c r="AL296" s="78"/>
      <c r="AM296" s="78">
        <f>SUM(AK296:AL296)</f>
        <v>97000</v>
      </c>
    </row>
    <row r="297" spans="1:39" s="23" customFormat="1" ht="21" customHeight="1">
      <c r="A297" s="85"/>
      <c r="B297" s="79" t="s">
        <v>114</v>
      </c>
      <c r="C297" s="83"/>
      <c r="D297" s="37" t="s">
        <v>51</v>
      </c>
      <c r="E297" s="78">
        <f aca="true" t="shared" si="317" ref="E297:W297">SUM(E298:E322)</f>
        <v>11879369</v>
      </c>
      <c r="F297" s="78">
        <f t="shared" si="317"/>
        <v>-791184</v>
      </c>
      <c r="G297" s="78">
        <f t="shared" si="317"/>
        <v>11088185</v>
      </c>
      <c r="H297" s="78">
        <f t="shared" si="317"/>
        <v>0</v>
      </c>
      <c r="I297" s="78">
        <f t="shared" si="317"/>
        <v>11088185</v>
      </c>
      <c r="J297" s="78">
        <f t="shared" si="317"/>
        <v>0</v>
      </c>
      <c r="K297" s="78">
        <f t="shared" si="317"/>
        <v>11088185</v>
      </c>
      <c r="L297" s="78">
        <f t="shared" si="317"/>
        <v>29100</v>
      </c>
      <c r="M297" s="78">
        <f t="shared" si="317"/>
        <v>11117285</v>
      </c>
      <c r="N297" s="78">
        <f t="shared" si="317"/>
        <v>0</v>
      </c>
      <c r="O297" s="78">
        <f t="shared" si="317"/>
        <v>11117285</v>
      </c>
      <c r="P297" s="78">
        <f t="shared" si="317"/>
        <v>0</v>
      </c>
      <c r="Q297" s="78">
        <f t="shared" si="317"/>
        <v>11117285</v>
      </c>
      <c r="R297" s="78">
        <f t="shared" si="317"/>
        <v>87400</v>
      </c>
      <c r="S297" s="78">
        <f t="shared" si="317"/>
        <v>11204685</v>
      </c>
      <c r="T297" s="78">
        <f t="shared" si="317"/>
        <v>0</v>
      </c>
      <c r="U297" s="78">
        <f t="shared" si="317"/>
        <v>11204685</v>
      </c>
      <c r="V297" s="78">
        <f t="shared" si="317"/>
        <v>0</v>
      </c>
      <c r="W297" s="78">
        <f t="shared" si="317"/>
        <v>11204685</v>
      </c>
      <c r="X297" s="78">
        <f aca="true" t="shared" si="318" ref="X297:AC297">SUM(X298:X322)</f>
        <v>0</v>
      </c>
      <c r="Y297" s="78">
        <f t="shared" si="318"/>
        <v>11204685</v>
      </c>
      <c r="Z297" s="78">
        <f t="shared" si="318"/>
        <v>0</v>
      </c>
      <c r="AA297" s="78">
        <f t="shared" si="318"/>
        <v>11204685</v>
      </c>
      <c r="AB297" s="78">
        <f t="shared" si="318"/>
        <v>0</v>
      </c>
      <c r="AC297" s="78">
        <f t="shared" si="318"/>
        <v>11204685</v>
      </c>
      <c r="AD297" s="78">
        <f aca="true" t="shared" si="319" ref="AD297:AI297">SUM(AD298:AD322)</f>
        <v>46300</v>
      </c>
      <c r="AE297" s="78">
        <f t="shared" si="319"/>
        <v>11250985</v>
      </c>
      <c r="AF297" s="78">
        <f t="shared" si="319"/>
        <v>12450</v>
      </c>
      <c r="AG297" s="78">
        <f t="shared" si="319"/>
        <v>11263435</v>
      </c>
      <c r="AH297" s="78">
        <f t="shared" si="319"/>
        <v>0</v>
      </c>
      <c r="AI297" s="78">
        <f t="shared" si="319"/>
        <v>11263435</v>
      </c>
      <c r="AJ297" s="78">
        <f>SUM(AJ298:AJ322)</f>
        <v>227483</v>
      </c>
      <c r="AK297" s="78">
        <f>SUM(AK298:AK322)</f>
        <v>11490918</v>
      </c>
      <c r="AL297" s="78">
        <f>SUM(AL298:AL322)</f>
        <v>0</v>
      </c>
      <c r="AM297" s="78">
        <f>SUM(AM298:AM322)</f>
        <v>11490918</v>
      </c>
    </row>
    <row r="298" spans="1:39" s="23" customFormat="1" ht="56.25">
      <c r="A298" s="85"/>
      <c r="B298" s="79"/>
      <c r="C298" s="83">
        <v>2590</v>
      </c>
      <c r="D298" s="37" t="s">
        <v>238</v>
      </c>
      <c r="E298" s="78">
        <v>263533</v>
      </c>
      <c r="F298" s="78"/>
      <c r="G298" s="78">
        <f>SUM(E298:F298)</f>
        <v>263533</v>
      </c>
      <c r="H298" s="78"/>
      <c r="I298" s="78">
        <f>SUM(G298:H298)</f>
        <v>263533</v>
      </c>
      <c r="J298" s="78"/>
      <c r="K298" s="78">
        <f>SUM(I298:J298)</f>
        <v>263533</v>
      </c>
      <c r="L298" s="78"/>
      <c r="M298" s="78">
        <f>SUM(K298:L298)</f>
        <v>263533</v>
      </c>
      <c r="N298" s="78"/>
      <c r="O298" s="78">
        <f>SUM(M298:N298)</f>
        <v>263533</v>
      </c>
      <c r="P298" s="78"/>
      <c r="Q298" s="78">
        <f>SUM(O298:P298)</f>
        <v>263533</v>
      </c>
      <c r="R298" s="78"/>
      <c r="S298" s="78">
        <f>SUM(Q298:R298)</f>
        <v>263533</v>
      </c>
      <c r="T298" s="78"/>
      <c r="U298" s="78">
        <f>SUM(S298:T298)</f>
        <v>263533</v>
      </c>
      <c r="V298" s="78"/>
      <c r="W298" s="78">
        <f>SUM(U298:V298)</f>
        <v>263533</v>
      </c>
      <c r="X298" s="78"/>
      <c r="Y298" s="78">
        <f>SUM(W298:X298)</f>
        <v>263533</v>
      </c>
      <c r="Z298" s="78"/>
      <c r="AA298" s="78">
        <f>SUM(Y298:Z298)</f>
        <v>263533</v>
      </c>
      <c r="AB298" s="78"/>
      <c r="AC298" s="78">
        <f>SUM(AA298:AB298)</f>
        <v>263533</v>
      </c>
      <c r="AD298" s="78"/>
      <c r="AE298" s="78">
        <f>SUM(AC298:AD298)</f>
        <v>263533</v>
      </c>
      <c r="AF298" s="78">
        <v>12450</v>
      </c>
      <c r="AG298" s="78">
        <f>SUM(AE298:AF298)</f>
        <v>275983</v>
      </c>
      <c r="AH298" s="78"/>
      <c r="AI298" s="78">
        <f>SUM(AG298:AH298)</f>
        <v>275983</v>
      </c>
      <c r="AJ298" s="78">
        <v>2700</v>
      </c>
      <c r="AK298" s="78">
        <f>SUM(AI298:AJ298)</f>
        <v>278683</v>
      </c>
      <c r="AL298" s="78"/>
      <c r="AM298" s="78">
        <f>SUM(AK298:AL298)</f>
        <v>278683</v>
      </c>
    </row>
    <row r="299" spans="1:39" s="23" customFormat="1" ht="22.5">
      <c r="A299" s="64"/>
      <c r="B299" s="79"/>
      <c r="C299" s="83">
        <v>3020</v>
      </c>
      <c r="D299" s="37" t="s">
        <v>187</v>
      </c>
      <c r="E299" s="78">
        <v>60743</v>
      </c>
      <c r="F299" s="78"/>
      <c r="G299" s="78">
        <f aca="true" t="shared" si="320" ref="G299:G322">SUM(E299:F299)</f>
        <v>60743</v>
      </c>
      <c r="H299" s="78"/>
      <c r="I299" s="78">
        <f aca="true" t="shared" si="321" ref="I299:I322">SUM(G299:H299)</f>
        <v>60743</v>
      </c>
      <c r="J299" s="78"/>
      <c r="K299" s="78">
        <f aca="true" t="shared" si="322" ref="K299:K322">SUM(I299:J299)</f>
        <v>60743</v>
      </c>
      <c r="L299" s="78"/>
      <c r="M299" s="78">
        <f aca="true" t="shared" si="323" ref="M299:M322">SUM(K299:L299)</f>
        <v>60743</v>
      </c>
      <c r="N299" s="78"/>
      <c r="O299" s="78">
        <f aca="true" t="shared" si="324" ref="O299:O322">SUM(M299:N299)</f>
        <v>60743</v>
      </c>
      <c r="P299" s="78"/>
      <c r="Q299" s="78">
        <f aca="true" t="shared" si="325" ref="Q299:Q322">SUM(O299:P299)</f>
        <v>60743</v>
      </c>
      <c r="R299" s="78"/>
      <c r="S299" s="78">
        <f aca="true" t="shared" si="326" ref="S299:S322">SUM(Q299:R299)</f>
        <v>60743</v>
      </c>
      <c r="T299" s="78">
        <v>-8000</v>
      </c>
      <c r="U299" s="78">
        <f aca="true" t="shared" si="327" ref="U299:U322">SUM(S299:T299)</f>
        <v>52743</v>
      </c>
      <c r="V299" s="78"/>
      <c r="W299" s="78">
        <f aca="true" t="shared" si="328" ref="W299:W322">SUM(U299:V299)</f>
        <v>52743</v>
      </c>
      <c r="X299" s="78"/>
      <c r="Y299" s="78">
        <f aca="true" t="shared" si="329" ref="Y299:Y322">SUM(W299:X299)</f>
        <v>52743</v>
      </c>
      <c r="Z299" s="78"/>
      <c r="AA299" s="78">
        <f aca="true" t="shared" si="330" ref="AA299:AA322">SUM(Y299:Z299)</f>
        <v>52743</v>
      </c>
      <c r="AB299" s="78"/>
      <c r="AC299" s="78">
        <f aca="true" t="shared" si="331" ref="AC299:AC322">SUM(AA299:AB299)</f>
        <v>52743</v>
      </c>
      <c r="AD299" s="78"/>
      <c r="AE299" s="78">
        <f aca="true" t="shared" si="332" ref="AE299:AE322">SUM(AC299:AD299)</f>
        <v>52743</v>
      </c>
      <c r="AF299" s="78"/>
      <c r="AG299" s="78">
        <f aca="true" t="shared" si="333" ref="AG299:AG322">SUM(AE299:AF299)</f>
        <v>52743</v>
      </c>
      <c r="AH299" s="78"/>
      <c r="AI299" s="78">
        <f aca="true" t="shared" si="334" ref="AI299:AI322">SUM(AG299:AH299)</f>
        <v>52743</v>
      </c>
      <c r="AJ299" s="78">
        <v>-326</v>
      </c>
      <c r="AK299" s="78">
        <f aca="true" t="shared" si="335" ref="AK299:AK322">SUM(AI299:AJ299)</f>
        <v>52417</v>
      </c>
      <c r="AL299" s="78"/>
      <c r="AM299" s="78">
        <f aca="true" t="shared" si="336" ref="AM299:AM322">SUM(AK299:AL299)</f>
        <v>52417</v>
      </c>
    </row>
    <row r="300" spans="1:42" s="23" customFormat="1" ht="21" customHeight="1">
      <c r="A300" s="64"/>
      <c r="B300" s="79"/>
      <c r="C300" s="83">
        <v>4010</v>
      </c>
      <c r="D300" s="37" t="s">
        <v>83</v>
      </c>
      <c r="E300" s="78">
        <v>3653633</v>
      </c>
      <c r="F300" s="78"/>
      <c r="G300" s="78">
        <f t="shared" si="320"/>
        <v>3653633</v>
      </c>
      <c r="H300" s="78"/>
      <c r="I300" s="78">
        <f t="shared" si="321"/>
        <v>3653633</v>
      </c>
      <c r="J300" s="78"/>
      <c r="K300" s="78">
        <f t="shared" si="322"/>
        <v>3653633</v>
      </c>
      <c r="L300" s="78">
        <v>10212</v>
      </c>
      <c r="M300" s="78">
        <f t="shared" si="323"/>
        <v>3663845</v>
      </c>
      <c r="N300" s="78"/>
      <c r="O300" s="78">
        <f t="shared" si="324"/>
        <v>3663845</v>
      </c>
      <c r="P300" s="78"/>
      <c r="Q300" s="78">
        <f t="shared" si="325"/>
        <v>3663845</v>
      </c>
      <c r="R300" s="78"/>
      <c r="S300" s="78">
        <f t="shared" si="326"/>
        <v>3663845</v>
      </c>
      <c r="T300" s="78"/>
      <c r="U300" s="78">
        <f t="shared" si="327"/>
        <v>3663845</v>
      </c>
      <c r="V300" s="78"/>
      <c r="W300" s="78">
        <f t="shared" si="328"/>
        <v>3663845</v>
      </c>
      <c r="X300" s="78"/>
      <c r="Y300" s="78">
        <f t="shared" si="329"/>
        <v>3663845</v>
      </c>
      <c r="Z300" s="78"/>
      <c r="AA300" s="78">
        <f t="shared" si="330"/>
        <v>3663845</v>
      </c>
      <c r="AB300" s="78"/>
      <c r="AC300" s="78">
        <f t="shared" si="331"/>
        <v>3663845</v>
      </c>
      <c r="AD300" s="78"/>
      <c r="AE300" s="78">
        <f t="shared" si="332"/>
        <v>3663845</v>
      </c>
      <c r="AF300" s="78"/>
      <c r="AG300" s="78">
        <f t="shared" si="333"/>
        <v>3663845</v>
      </c>
      <c r="AH300" s="78"/>
      <c r="AI300" s="78">
        <f t="shared" si="334"/>
        <v>3663845</v>
      </c>
      <c r="AJ300" s="78">
        <f>197471+5000-2000</f>
        <v>200471</v>
      </c>
      <c r="AK300" s="78">
        <f t="shared" si="335"/>
        <v>3864316</v>
      </c>
      <c r="AL300" s="78"/>
      <c r="AM300" s="78">
        <f t="shared" si="336"/>
        <v>3864316</v>
      </c>
      <c r="AN300" s="113"/>
      <c r="AO300" s="113"/>
      <c r="AP300" s="113"/>
    </row>
    <row r="301" spans="1:42" s="23" customFormat="1" ht="21" customHeight="1">
      <c r="A301" s="64"/>
      <c r="B301" s="79"/>
      <c r="C301" s="83">
        <v>4040</v>
      </c>
      <c r="D301" s="37" t="s">
        <v>84</v>
      </c>
      <c r="E301" s="78">
        <v>299409</v>
      </c>
      <c r="F301" s="78"/>
      <c r="G301" s="78">
        <f t="shared" si="320"/>
        <v>299409</v>
      </c>
      <c r="H301" s="78"/>
      <c r="I301" s="78">
        <f t="shared" si="321"/>
        <v>299409</v>
      </c>
      <c r="J301" s="78"/>
      <c r="K301" s="78">
        <f t="shared" si="322"/>
        <v>299409</v>
      </c>
      <c r="L301" s="78">
        <v>-10212</v>
      </c>
      <c r="M301" s="78">
        <f t="shared" si="323"/>
        <v>289197</v>
      </c>
      <c r="N301" s="78"/>
      <c r="O301" s="78">
        <f t="shared" si="324"/>
        <v>289197</v>
      </c>
      <c r="P301" s="78"/>
      <c r="Q301" s="78">
        <f t="shared" si="325"/>
        <v>289197</v>
      </c>
      <c r="R301" s="78"/>
      <c r="S301" s="78">
        <f t="shared" si="326"/>
        <v>289197</v>
      </c>
      <c r="T301" s="78"/>
      <c r="U301" s="78">
        <f t="shared" si="327"/>
        <v>289197</v>
      </c>
      <c r="V301" s="78"/>
      <c r="W301" s="78">
        <f t="shared" si="328"/>
        <v>289197</v>
      </c>
      <c r="X301" s="78"/>
      <c r="Y301" s="78">
        <f t="shared" si="329"/>
        <v>289197</v>
      </c>
      <c r="Z301" s="78"/>
      <c r="AA301" s="78">
        <f t="shared" si="330"/>
        <v>289197</v>
      </c>
      <c r="AB301" s="78"/>
      <c r="AC301" s="78">
        <f t="shared" si="331"/>
        <v>289197</v>
      </c>
      <c r="AD301" s="78"/>
      <c r="AE301" s="78">
        <f t="shared" si="332"/>
        <v>289197</v>
      </c>
      <c r="AF301" s="78"/>
      <c r="AG301" s="78">
        <f t="shared" si="333"/>
        <v>289197</v>
      </c>
      <c r="AH301" s="78"/>
      <c r="AI301" s="78">
        <f t="shared" si="334"/>
        <v>289197</v>
      </c>
      <c r="AJ301" s="78"/>
      <c r="AK301" s="78">
        <f t="shared" si="335"/>
        <v>289197</v>
      </c>
      <c r="AL301" s="78"/>
      <c r="AM301" s="78">
        <f t="shared" si="336"/>
        <v>289197</v>
      </c>
      <c r="AN301" s="113"/>
      <c r="AO301" s="113"/>
      <c r="AP301" s="113"/>
    </row>
    <row r="302" spans="1:42" s="23" customFormat="1" ht="21" customHeight="1">
      <c r="A302" s="64"/>
      <c r="B302" s="79"/>
      <c r="C302" s="83">
        <v>4110</v>
      </c>
      <c r="D302" s="37" t="s">
        <v>85</v>
      </c>
      <c r="E302" s="78">
        <v>585888</v>
      </c>
      <c r="F302" s="78"/>
      <c r="G302" s="78">
        <f t="shared" si="320"/>
        <v>585888</v>
      </c>
      <c r="H302" s="78"/>
      <c r="I302" s="78">
        <f t="shared" si="321"/>
        <v>585888</v>
      </c>
      <c r="J302" s="78"/>
      <c r="K302" s="78">
        <f t="shared" si="322"/>
        <v>585888</v>
      </c>
      <c r="L302" s="78"/>
      <c r="M302" s="78">
        <f t="shared" si="323"/>
        <v>585888</v>
      </c>
      <c r="N302" s="78"/>
      <c r="O302" s="78">
        <f t="shared" si="324"/>
        <v>585888</v>
      </c>
      <c r="P302" s="78"/>
      <c r="Q302" s="78">
        <f t="shared" si="325"/>
        <v>585888</v>
      </c>
      <c r="R302" s="78"/>
      <c r="S302" s="78">
        <f t="shared" si="326"/>
        <v>585888</v>
      </c>
      <c r="T302" s="78"/>
      <c r="U302" s="78">
        <f t="shared" si="327"/>
        <v>585888</v>
      </c>
      <c r="V302" s="78"/>
      <c r="W302" s="78">
        <f t="shared" si="328"/>
        <v>585888</v>
      </c>
      <c r="X302" s="78"/>
      <c r="Y302" s="78">
        <f t="shared" si="329"/>
        <v>585888</v>
      </c>
      <c r="Z302" s="78"/>
      <c r="AA302" s="78">
        <f t="shared" si="330"/>
        <v>585888</v>
      </c>
      <c r="AB302" s="78"/>
      <c r="AC302" s="78">
        <f t="shared" si="331"/>
        <v>585888</v>
      </c>
      <c r="AD302" s="78"/>
      <c r="AE302" s="78">
        <f t="shared" si="332"/>
        <v>585888</v>
      </c>
      <c r="AF302" s="78"/>
      <c r="AG302" s="78">
        <f t="shared" si="333"/>
        <v>585888</v>
      </c>
      <c r="AH302" s="78"/>
      <c r="AI302" s="78">
        <f t="shared" si="334"/>
        <v>585888</v>
      </c>
      <c r="AJ302" s="78">
        <f>42978+2000</f>
        <v>44978</v>
      </c>
      <c r="AK302" s="78">
        <f t="shared" si="335"/>
        <v>630866</v>
      </c>
      <c r="AL302" s="78"/>
      <c r="AM302" s="78">
        <f t="shared" si="336"/>
        <v>630866</v>
      </c>
      <c r="AN302" s="113"/>
      <c r="AO302" s="113"/>
      <c r="AP302" s="113"/>
    </row>
    <row r="303" spans="1:42" s="23" customFormat="1" ht="21" customHeight="1">
      <c r="A303" s="64"/>
      <c r="B303" s="79"/>
      <c r="C303" s="83">
        <v>4120</v>
      </c>
      <c r="D303" s="37" t="s">
        <v>86</v>
      </c>
      <c r="E303" s="78">
        <v>99409</v>
      </c>
      <c r="F303" s="78"/>
      <c r="G303" s="78">
        <f t="shared" si="320"/>
        <v>99409</v>
      </c>
      <c r="H303" s="78"/>
      <c r="I303" s="78">
        <f t="shared" si="321"/>
        <v>99409</v>
      </c>
      <c r="J303" s="78"/>
      <c r="K303" s="78">
        <f t="shared" si="322"/>
        <v>99409</v>
      </c>
      <c r="L303" s="78"/>
      <c r="M303" s="78">
        <f t="shared" si="323"/>
        <v>99409</v>
      </c>
      <c r="N303" s="78"/>
      <c r="O303" s="78">
        <f t="shared" si="324"/>
        <v>99409</v>
      </c>
      <c r="P303" s="78"/>
      <c r="Q303" s="78">
        <f t="shared" si="325"/>
        <v>99409</v>
      </c>
      <c r="R303" s="78"/>
      <c r="S303" s="78">
        <f t="shared" si="326"/>
        <v>99409</v>
      </c>
      <c r="T303" s="78"/>
      <c r="U303" s="78">
        <f t="shared" si="327"/>
        <v>99409</v>
      </c>
      <c r="V303" s="78"/>
      <c r="W303" s="78">
        <f t="shared" si="328"/>
        <v>99409</v>
      </c>
      <c r="X303" s="78"/>
      <c r="Y303" s="78">
        <f t="shared" si="329"/>
        <v>99409</v>
      </c>
      <c r="Z303" s="78"/>
      <c r="AA303" s="78">
        <f t="shared" si="330"/>
        <v>99409</v>
      </c>
      <c r="AB303" s="78"/>
      <c r="AC303" s="78">
        <f t="shared" si="331"/>
        <v>99409</v>
      </c>
      <c r="AD303" s="78"/>
      <c r="AE303" s="78">
        <f t="shared" si="332"/>
        <v>99409</v>
      </c>
      <c r="AF303" s="78"/>
      <c r="AG303" s="78">
        <f t="shared" si="333"/>
        <v>99409</v>
      </c>
      <c r="AH303" s="78"/>
      <c r="AI303" s="78">
        <f t="shared" si="334"/>
        <v>99409</v>
      </c>
      <c r="AJ303" s="78">
        <v>-3440</v>
      </c>
      <c r="AK303" s="78">
        <f t="shared" si="335"/>
        <v>95969</v>
      </c>
      <c r="AL303" s="78"/>
      <c r="AM303" s="78">
        <f t="shared" si="336"/>
        <v>95969</v>
      </c>
      <c r="AN303" s="113"/>
      <c r="AO303" s="113"/>
      <c r="AP303" s="113"/>
    </row>
    <row r="304" spans="1:42" s="23" customFormat="1" ht="21" customHeight="1">
      <c r="A304" s="64"/>
      <c r="B304" s="79"/>
      <c r="C304" s="83">
        <v>4170</v>
      </c>
      <c r="D304" s="37" t="s">
        <v>189</v>
      </c>
      <c r="E304" s="78">
        <v>12900</v>
      </c>
      <c r="F304" s="78"/>
      <c r="G304" s="78">
        <f t="shared" si="320"/>
        <v>12900</v>
      </c>
      <c r="H304" s="78"/>
      <c r="I304" s="78">
        <f t="shared" si="321"/>
        <v>12900</v>
      </c>
      <c r="J304" s="78"/>
      <c r="K304" s="78">
        <f t="shared" si="322"/>
        <v>12900</v>
      </c>
      <c r="L304" s="78">
        <v>3500</v>
      </c>
      <c r="M304" s="78">
        <f t="shared" si="323"/>
        <v>16400</v>
      </c>
      <c r="N304" s="78"/>
      <c r="O304" s="78">
        <f t="shared" si="324"/>
        <v>16400</v>
      </c>
      <c r="P304" s="78"/>
      <c r="Q304" s="78">
        <f t="shared" si="325"/>
        <v>16400</v>
      </c>
      <c r="R304" s="78"/>
      <c r="S304" s="78">
        <f t="shared" si="326"/>
        <v>16400</v>
      </c>
      <c r="T304" s="78"/>
      <c r="U304" s="78">
        <f t="shared" si="327"/>
        <v>16400</v>
      </c>
      <c r="V304" s="78"/>
      <c r="W304" s="78">
        <f t="shared" si="328"/>
        <v>16400</v>
      </c>
      <c r="X304" s="78"/>
      <c r="Y304" s="78">
        <f t="shared" si="329"/>
        <v>16400</v>
      </c>
      <c r="Z304" s="78"/>
      <c r="AA304" s="78">
        <f t="shared" si="330"/>
        <v>16400</v>
      </c>
      <c r="AB304" s="78"/>
      <c r="AC304" s="78">
        <f t="shared" si="331"/>
        <v>16400</v>
      </c>
      <c r="AD304" s="78"/>
      <c r="AE304" s="78">
        <f t="shared" si="332"/>
        <v>16400</v>
      </c>
      <c r="AF304" s="78"/>
      <c r="AG304" s="78">
        <f t="shared" si="333"/>
        <v>16400</v>
      </c>
      <c r="AH304" s="78"/>
      <c r="AI304" s="78">
        <f t="shared" si="334"/>
        <v>16400</v>
      </c>
      <c r="AJ304" s="78">
        <v>-970</v>
      </c>
      <c r="AK304" s="78">
        <f t="shared" si="335"/>
        <v>15430</v>
      </c>
      <c r="AL304" s="78"/>
      <c r="AM304" s="78">
        <f t="shared" si="336"/>
        <v>15430</v>
      </c>
      <c r="AN304" s="113"/>
      <c r="AO304" s="113"/>
      <c r="AP304" s="113"/>
    </row>
    <row r="305" spans="1:39" s="23" customFormat="1" ht="21" customHeight="1">
      <c r="A305" s="64"/>
      <c r="B305" s="79"/>
      <c r="C305" s="83">
        <v>4210</v>
      </c>
      <c r="D305" s="37" t="s">
        <v>91</v>
      </c>
      <c r="E305" s="78">
        <f>169800+500</f>
        <v>170300</v>
      </c>
      <c r="F305" s="78"/>
      <c r="G305" s="78">
        <f t="shared" si="320"/>
        <v>170300</v>
      </c>
      <c r="H305" s="78"/>
      <c r="I305" s="78">
        <f t="shared" si="321"/>
        <v>170300</v>
      </c>
      <c r="J305" s="78"/>
      <c r="K305" s="78">
        <f t="shared" si="322"/>
        <v>170300</v>
      </c>
      <c r="L305" s="78">
        <f>300+300</f>
        <v>600</v>
      </c>
      <c r="M305" s="78">
        <f t="shared" si="323"/>
        <v>170900</v>
      </c>
      <c r="N305" s="78"/>
      <c r="O305" s="78">
        <f t="shared" si="324"/>
        <v>170900</v>
      </c>
      <c r="P305" s="78"/>
      <c r="Q305" s="78">
        <f t="shared" si="325"/>
        <v>170900</v>
      </c>
      <c r="R305" s="78"/>
      <c r="S305" s="78">
        <f t="shared" si="326"/>
        <v>170900</v>
      </c>
      <c r="T305" s="78">
        <v>-1000</v>
      </c>
      <c r="U305" s="78">
        <f t="shared" si="327"/>
        <v>169900</v>
      </c>
      <c r="V305" s="78"/>
      <c r="W305" s="78">
        <f t="shared" si="328"/>
        <v>169900</v>
      </c>
      <c r="X305" s="78"/>
      <c r="Y305" s="78">
        <f t="shared" si="329"/>
        <v>169900</v>
      </c>
      <c r="Z305" s="78"/>
      <c r="AA305" s="78">
        <f t="shared" si="330"/>
        <v>169900</v>
      </c>
      <c r="AB305" s="78"/>
      <c r="AC305" s="78">
        <f t="shared" si="331"/>
        <v>169900</v>
      </c>
      <c r="AD305" s="78">
        <v>7000</v>
      </c>
      <c r="AE305" s="78">
        <f t="shared" si="332"/>
        <v>176900</v>
      </c>
      <c r="AF305" s="78"/>
      <c r="AG305" s="78">
        <f t="shared" si="333"/>
        <v>176900</v>
      </c>
      <c r="AH305" s="78"/>
      <c r="AI305" s="78">
        <f t="shared" si="334"/>
        <v>176900</v>
      </c>
      <c r="AJ305" s="78">
        <f>12300-6170+200</f>
        <v>6330</v>
      </c>
      <c r="AK305" s="78">
        <f t="shared" si="335"/>
        <v>183230</v>
      </c>
      <c r="AL305" s="78"/>
      <c r="AM305" s="78">
        <f t="shared" si="336"/>
        <v>183230</v>
      </c>
    </row>
    <row r="306" spans="1:39" s="23" customFormat="1" ht="26.25" customHeight="1">
      <c r="A306" s="64"/>
      <c r="B306" s="79"/>
      <c r="C306" s="83">
        <v>4230</v>
      </c>
      <c r="D306" s="37" t="s">
        <v>232</v>
      </c>
      <c r="E306" s="78">
        <v>1600</v>
      </c>
      <c r="F306" s="78"/>
      <c r="G306" s="78">
        <f t="shared" si="320"/>
        <v>1600</v>
      </c>
      <c r="H306" s="78"/>
      <c r="I306" s="78">
        <f t="shared" si="321"/>
        <v>1600</v>
      </c>
      <c r="J306" s="78"/>
      <c r="K306" s="78">
        <f t="shared" si="322"/>
        <v>1600</v>
      </c>
      <c r="L306" s="78"/>
      <c r="M306" s="78">
        <f t="shared" si="323"/>
        <v>1600</v>
      </c>
      <c r="N306" s="78"/>
      <c r="O306" s="78">
        <f t="shared" si="324"/>
        <v>1600</v>
      </c>
      <c r="P306" s="78"/>
      <c r="Q306" s="78">
        <f t="shared" si="325"/>
        <v>1600</v>
      </c>
      <c r="R306" s="78"/>
      <c r="S306" s="78">
        <f t="shared" si="326"/>
        <v>1600</v>
      </c>
      <c r="T306" s="78"/>
      <c r="U306" s="78">
        <f t="shared" si="327"/>
        <v>1600</v>
      </c>
      <c r="V306" s="78"/>
      <c r="W306" s="78">
        <f t="shared" si="328"/>
        <v>1600</v>
      </c>
      <c r="X306" s="78"/>
      <c r="Y306" s="78">
        <f t="shared" si="329"/>
        <v>1600</v>
      </c>
      <c r="Z306" s="78"/>
      <c r="AA306" s="78">
        <f t="shared" si="330"/>
        <v>1600</v>
      </c>
      <c r="AB306" s="78"/>
      <c r="AC306" s="78">
        <f t="shared" si="331"/>
        <v>1600</v>
      </c>
      <c r="AD306" s="78"/>
      <c r="AE306" s="78">
        <f t="shared" si="332"/>
        <v>1600</v>
      </c>
      <c r="AF306" s="78"/>
      <c r="AG306" s="78">
        <f t="shared" si="333"/>
        <v>1600</v>
      </c>
      <c r="AH306" s="78"/>
      <c r="AI306" s="78">
        <f t="shared" si="334"/>
        <v>1600</v>
      </c>
      <c r="AJ306" s="78">
        <v>-100</v>
      </c>
      <c r="AK306" s="78">
        <f t="shared" si="335"/>
        <v>1500</v>
      </c>
      <c r="AL306" s="78"/>
      <c r="AM306" s="78">
        <f t="shared" si="336"/>
        <v>1500</v>
      </c>
    </row>
    <row r="307" spans="1:39" s="23" customFormat="1" ht="22.5">
      <c r="A307" s="64"/>
      <c r="B307" s="79"/>
      <c r="C307" s="83">
        <v>4240</v>
      </c>
      <c r="D307" s="37" t="s">
        <v>122</v>
      </c>
      <c r="E307" s="78">
        <v>9500</v>
      </c>
      <c r="F307" s="78"/>
      <c r="G307" s="78">
        <f t="shared" si="320"/>
        <v>9500</v>
      </c>
      <c r="H307" s="78"/>
      <c r="I307" s="78">
        <f t="shared" si="321"/>
        <v>9500</v>
      </c>
      <c r="J307" s="78"/>
      <c r="K307" s="78">
        <f t="shared" si="322"/>
        <v>9500</v>
      </c>
      <c r="L307" s="78"/>
      <c r="M307" s="78">
        <f t="shared" si="323"/>
        <v>9500</v>
      </c>
      <c r="N307" s="78"/>
      <c r="O307" s="78">
        <f t="shared" si="324"/>
        <v>9500</v>
      </c>
      <c r="P307" s="78"/>
      <c r="Q307" s="78">
        <f t="shared" si="325"/>
        <v>9500</v>
      </c>
      <c r="R307" s="78"/>
      <c r="S307" s="78">
        <f t="shared" si="326"/>
        <v>9500</v>
      </c>
      <c r="T307" s="78"/>
      <c r="U307" s="78">
        <f t="shared" si="327"/>
        <v>9500</v>
      </c>
      <c r="V307" s="78"/>
      <c r="W307" s="78">
        <f t="shared" si="328"/>
        <v>9500</v>
      </c>
      <c r="X307" s="78"/>
      <c r="Y307" s="78">
        <f t="shared" si="329"/>
        <v>9500</v>
      </c>
      <c r="Z307" s="78"/>
      <c r="AA307" s="78">
        <f t="shared" si="330"/>
        <v>9500</v>
      </c>
      <c r="AB307" s="78"/>
      <c r="AC307" s="78">
        <f t="shared" si="331"/>
        <v>9500</v>
      </c>
      <c r="AD307" s="78"/>
      <c r="AE307" s="78">
        <f t="shared" si="332"/>
        <v>9500</v>
      </c>
      <c r="AF307" s="78"/>
      <c r="AG307" s="78">
        <f t="shared" si="333"/>
        <v>9500</v>
      </c>
      <c r="AH307" s="78"/>
      <c r="AI307" s="78">
        <f t="shared" si="334"/>
        <v>9500</v>
      </c>
      <c r="AJ307" s="78">
        <v>13364</v>
      </c>
      <c r="AK307" s="78">
        <f t="shared" si="335"/>
        <v>22864</v>
      </c>
      <c r="AL307" s="78"/>
      <c r="AM307" s="78">
        <f t="shared" si="336"/>
        <v>22864</v>
      </c>
    </row>
    <row r="308" spans="1:39" s="23" customFormat="1" ht="21" customHeight="1">
      <c r="A308" s="64"/>
      <c r="B308" s="79"/>
      <c r="C308" s="83">
        <v>4260</v>
      </c>
      <c r="D308" s="37" t="s">
        <v>94</v>
      </c>
      <c r="E308" s="78">
        <v>316000</v>
      </c>
      <c r="F308" s="78"/>
      <c r="G308" s="78">
        <f t="shared" si="320"/>
        <v>316000</v>
      </c>
      <c r="H308" s="78"/>
      <c r="I308" s="78">
        <f t="shared" si="321"/>
        <v>316000</v>
      </c>
      <c r="J308" s="78"/>
      <c r="K308" s="78">
        <f t="shared" si="322"/>
        <v>316000</v>
      </c>
      <c r="L308" s="78"/>
      <c r="M308" s="78">
        <f t="shared" si="323"/>
        <v>316000</v>
      </c>
      <c r="N308" s="78"/>
      <c r="O308" s="78">
        <f t="shared" si="324"/>
        <v>316000</v>
      </c>
      <c r="P308" s="78"/>
      <c r="Q308" s="78">
        <f t="shared" si="325"/>
        <v>316000</v>
      </c>
      <c r="R308" s="78"/>
      <c r="S308" s="78">
        <f t="shared" si="326"/>
        <v>316000</v>
      </c>
      <c r="T308" s="78"/>
      <c r="U308" s="78">
        <f t="shared" si="327"/>
        <v>316000</v>
      </c>
      <c r="V308" s="78"/>
      <c r="W308" s="78">
        <f t="shared" si="328"/>
        <v>316000</v>
      </c>
      <c r="X308" s="78"/>
      <c r="Y308" s="78">
        <f t="shared" si="329"/>
        <v>316000</v>
      </c>
      <c r="Z308" s="78"/>
      <c r="AA308" s="78">
        <f t="shared" si="330"/>
        <v>316000</v>
      </c>
      <c r="AB308" s="78"/>
      <c r="AC308" s="78">
        <f t="shared" si="331"/>
        <v>316000</v>
      </c>
      <c r="AD308" s="78"/>
      <c r="AE308" s="78">
        <f t="shared" si="332"/>
        <v>316000</v>
      </c>
      <c r="AF308" s="78"/>
      <c r="AG308" s="78">
        <f t="shared" si="333"/>
        <v>316000</v>
      </c>
      <c r="AH308" s="78"/>
      <c r="AI308" s="78">
        <f t="shared" si="334"/>
        <v>316000</v>
      </c>
      <c r="AJ308" s="78">
        <f>25600-2560</f>
        <v>23040</v>
      </c>
      <c r="AK308" s="78">
        <f t="shared" si="335"/>
        <v>339040</v>
      </c>
      <c r="AL308" s="78"/>
      <c r="AM308" s="78">
        <f t="shared" si="336"/>
        <v>339040</v>
      </c>
    </row>
    <row r="309" spans="1:39" s="23" customFormat="1" ht="21" customHeight="1">
      <c r="A309" s="64"/>
      <c r="B309" s="79"/>
      <c r="C309" s="83">
        <v>4270</v>
      </c>
      <c r="D309" s="37" t="s">
        <v>77</v>
      </c>
      <c r="E309" s="78">
        <f>59680+120000</f>
        <v>179680</v>
      </c>
      <c r="F309" s="78">
        <v>-40000</v>
      </c>
      <c r="G309" s="78">
        <f t="shared" si="320"/>
        <v>139680</v>
      </c>
      <c r="H309" s="78"/>
      <c r="I309" s="78">
        <f t="shared" si="321"/>
        <v>139680</v>
      </c>
      <c r="J309" s="78"/>
      <c r="K309" s="78">
        <f t="shared" si="322"/>
        <v>139680</v>
      </c>
      <c r="L309" s="78">
        <v>-3500</v>
      </c>
      <c r="M309" s="78">
        <f t="shared" si="323"/>
        <v>136180</v>
      </c>
      <c r="N309" s="78"/>
      <c r="O309" s="78">
        <f t="shared" si="324"/>
        <v>136180</v>
      </c>
      <c r="P309" s="78"/>
      <c r="Q309" s="78">
        <f t="shared" si="325"/>
        <v>136180</v>
      </c>
      <c r="R309" s="78"/>
      <c r="S309" s="78">
        <f t="shared" si="326"/>
        <v>136180</v>
      </c>
      <c r="T309" s="78"/>
      <c r="U309" s="78">
        <f t="shared" si="327"/>
        <v>136180</v>
      </c>
      <c r="V309" s="78"/>
      <c r="W309" s="78">
        <f t="shared" si="328"/>
        <v>136180</v>
      </c>
      <c r="X309" s="78"/>
      <c r="Y309" s="78">
        <f t="shared" si="329"/>
        <v>136180</v>
      </c>
      <c r="Z309" s="78"/>
      <c r="AA309" s="78">
        <f t="shared" si="330"/>
        <v>136180</v>
      </c>
      <c r="AB309" s="78"/>
      <c r="AC309" s="78">
        <f t="shared" si="331"/>
        <v>136180</v>
      </c>
      <c r="AD309" s="78">
        <v>2000</v>
      </c>
      <c r="AE309" s="78">
        <f t="shared" si="332"/>
        <v>138180</v>
      </c>
      <c r="AF309" s="78"/>
      <c r="AG309" s="78">
        <f t="shared" si="333"/>
        <v>138180</v>
      </c>
      <c r="AH309" s="78"/>
      <c r="AI309" s="78">
        <f t="shared" si="334"/>
        <v>138180</v>
      </c>
      <c r="AJ309" s="78">
        <v>-7500</v>
      </c>
      <c r="AK309" s="78">
        <f t="shared" si="335"/>
        <v>130680</v>
      </c>
      <c r="AL309" s="78"/>
      <c r="AM309" s="78">
        <f t="shared" si="336"/>
        <v>130680</v>
      </c>
    </row>
    <row r="310" spans="1:39" s="23" customFormat="1" ht="21" customHeight="1">
      <c r="A310" s="64"/>
      <c r="B310" s="79"/>
      <c r="C310" s="83">
        <v>4280</v>
      </c>
      <c r="D310" s="37" t="s">
        <v>196</v>
      </c>
      <c r="E310" s="78">
        <v>9700</v>
      </c>
      <c r="F310" s="78"/>
      <c r="G310" s="78">
        <f t="shared" si="320"/>
        <v>9700</v>
      </c>
      <c r="H310" s="78"/>
      <c r="I310" s="78">
        <f t="shared" si="321"/>
        <v>9700</v>
      </c>
      <c r="J310" s="78"/>
      <c r="K310" s="78">
        <f t="shared" si="322"/>
        <v>9700</v>
      </c>
      <c r="L310" s="78"/>
      <c r="M310" s="78">
        <f t="shared" si="323"/>
        <v>9700</v>
      </c>
      <c r="N310" s="78"/>
      <c r="O310" s="78">
        <f t="shared" si="324"/>
        <v>9700</v>
      </c>
      <c r="P310" s="78"/>
      <c r="Q310" s="78">
        <f t="shared" si="325"/>
        <v>9700</v>
      </c>
      <c r="R310" s="78"/>
      <c r="S310" s="78">
        <f t="shared" si="326"/>
        <v>9700</v>
      </c>
      <c r="T310" s="78"/>
      <c r="U310" s="78">
        <f t="shared" si="327"/>
        <v>9700</v>
      </c>
      <c r="V310" s="78"/>
      <c r="W310" s="78">
        <f t="shared" si="328"/>
        <v>9700</v>
      </c>
      <c r="X310" s="78"/>
      <c r="Y310" s="78">
        <f t="shared" si="329"/>
        <v>9700</v>
      </c>
      <c r="Z310" s="78"/>
      <c r="AA310" s="78">
        <f t="shared" si="330"/>
        <v>9700</v>
      </c>
      <c r="AB310" s="78"/>
      <c r="AC310" s="78">
        <f t="shared" si="331"/>
        <v>9700</v>
      </c>
      <c r="AD310" s="78"/>
      <c r="AE310" s="78">
        <f t="shared" si="332"/>
        <v>9700</v>
      </c>
      <c r="AF310" s="78"/>
      <c r="AG310" s="78">
        <f t="shared" si="333"/>
        <v>9700</v>
      </c>
      <c r="AH310" s="78"/>
      <c r="AI310" s="78">
        <f t="shared" si="334"/>
        <v>9700</v>
      </c>
      <c r="AJ310" s="78">
        <v>-2000</v>
      </c>
      <c r="AK310" s="78">
        <f t="shared" si="335"/>
        <v>7700</v>
      </c>
      <c r="AL310" s="78"/>
      <c r="AM310" s="78">
        <f t="shared" si="336"/>
        <v>7700</v>
      </c>
    </row>
    <row r="311" spans="1:39" s="23" customFormat="1" ht="21" customHeight="1">
      <c r="A311" s="64"/>
      <c r="B311" s="79"/>
      <c r="C311" s="83">
        <v>4300</v>
      </c>
      <c r="D311" s="37" t="s">
        <v>78</v>
      </c>
      <c r="E311" s="78">
        <v>42100</v>
      </c>
      <c r="F311" s="78"/>
      <c r="G311" s="78">
        <f t="shared" si="320"/>
        <v>42100</v>
      </c>
      <c r="H311" s="78"/>
      <c r="I311" s="78">
        <f t="shared" si="321"/>
        <v>42100</v>
      </c>
      <c r="J311" s="78"/>
      <c r="K311" s="78">
        <f t="shared" si="322"/>
        <v>42100</v>
      </c>
      <c r="L311" s="78">
        <v>13500</v>
      </c>
      <c r="M311" s="78">
        <f t="shared" si="323"/>
        <v>55600</v>
      </c>
      <c r="N311" s="78"/>
      <c r="O311" s="78">
        <f t="shared" si="324"/>
        <v>55600</v>
      </c>
      <c r="P311" s="78"/>
      <c r="Q311" s="78">
        <f t="shared" si="325"/>
        <v>55600</v>
      </c>
      <c r="R311" s="78"/>
      <c r="S311" s="78">
        <f t="shared" si="326"/>
        <v>55600</v>
      </c>
      <c r="T311" s="78">
        <v>8000</v>
      </c>
      <c r="U311" s="78">
        <f t="shared" si="327"/>
        <v>63600</v>
      </c>
      <c r="V311" s="78"/>
      <c r="W311" s="78">
        <f t="shared" si="328"/>
        <v>63600</v>
      </c>
      <c r="X311" s="78"/>
      <c r="Y311" s="78">
        <f t="shared" si="329"/>
        <v>63600</v>
      </c>
      <c r="Z311" s="78"/>
      <c r="AA311" s="78">
        <f t="shared" si="330"/>
        <v>63600</v>
      </c>
      <c r="AB311" s="78"/>
      <c r="AC311" s="78">
        <f t="shared" si="331"/>
        <v>63600</v>
      </c>
      <c r="AD311" s="78">
        <v>37300</v>
      </c>
      <c r="AE311" s="78">
        <f t="shared" si="332"/>
        <v>100900</v>
      </c>
      <c r="AF311" s="78"/>
      <c r="AG311" s="78">
        <f t="shared" si="333"/>
        <v>100900</v>
      </c>
      <c r="AH311" s="78"/>
      <c r="AI311" s="78">
        <f t="shared" si="334"/>
        <v>100900</v>
      </c>
      <c r="AJ311" s="78">
        <f>6650-3650+400</f>
        <v>3400</v>
      </c>
      <c r="AK311" s="78">
        <f t="shared" si="335"/>
        <v>104300</v>
      </c>
      <c r="AL311" s="78"/>
      <c r="AM311" s="78">
        <f t="shared" si="336"/>
        <v>104300</v>
      </c>
    </row>
    <row r="312" spans="1:39" s="23" customFormat="1" ht="21" customHeight="1">
      <c r="A312" s="64"/>
      <c r="B312" s="79"/>
      <c r="C312" s="83">
        <v>4350</v>
      </c>
      <c r="D312" s="37" t="s">
        <v>203</v>
      </c>
      <c r="E312" s="78">
        <v>4300</v>
      </c>
      <c r="F312" s="78"/>
      <c r="G312" s="78">
        <f t="shared" si="320"/>
        <v>4300</v>
      </c>
      <c r="H312" s="78"/>
      <c r="I312" s="78">
        <f t="shared" si="321"/>
        <v>4300</v>
      </c>
      <c r="J312" s="78"/>
      <c r="K312" s="78">
        <f t="shared" si="322"/>
        <v>4300</v>
      </c>
      <c r="L312" s="78"/>
      <c r="M312" s="78">
        <f t="shared" si="323"/>
        <v>4300</v>
      </c>
      <c r="N312" s="78"/>
      <c r="O312" s="78">
        <f t="shared" si="324"/>
        <v>4300</v>
      </c>
      <c r="P312" s="78"/>
      <c r="Q312" s="78">
        <f t="shared" si="325"/>
        <v>4300</v>
      </c>
      <c r="R312" s="78"/>
      <c r="S312" s="78">
        <f t="shared" si="326"/>
        <v>4300</v>
      </c>
      <c r="T312" s="78"/>
      <c r="U312" s="78">
        <f t="shared" si="327"/>
        <v>4300</v>
      </c>
      <c r="V312" s="78"/>
      <c r="W312" s="78">
        <f t="shared" si="328"/>
        <v>4300</v>
      </c>
      <c r="X312" s="78"/>
      <c r="Y312" s="78">
        <f t="shared" si="329"/>
        <v>4300</v>
      </c>
      <c r="Z312" s="78"/>
      <c r="AA312" s="78">
        <f t="shared" si="330"/>
        <v>4300</v>
      </c>
      <c r="AB312" s="78"/>
      <c r="AC312" s="78">
        <f t="shared" si="331"/>
        <v>4300</v>
      </c>
      <c r="AD312" s="78"/>
      <c r="AE312" s="78">
        <f t="shared" si="332"/>
        <v>4300</v>
      </c>
      <c r="AF312" s="78"/>
      <c r="AG312" s="78">
        <f t="shared" si="333"/>
        <v>4300</v>
      </c>
      <c r="AH312" s="78"/>
      <c r="AI312" s="78">
        <f t="shared" si="334"/>
        <v>4300</v>
      </c>
      <c r="AJ312" s="78">
        <v>-1300</v>
      </c>
      <c r="AK312" s="78">
        <f t="shared" si="335"/>
        <v>3000</v>
      </c>
      <c r="AL312" s="78"/>
      <c r="AM312" s="78">
        <f t="shared" si="336"/>
        <v>3000</v>
      </c>
    </row>
    <row r="313" spans="1:39" s="23" customFormat="1" ht="45">
      <c r="A313" s="64"/>
      <c r="B313" s="79"/>
      <c r="C313" s="83">
        <v>4370</v>
      </c>
      <c r="D313" s="37" t="s">
        <v>362</v>
      </c>
      <c r="E313" s="78">
        <v>7500</v>
      </c>
      <c r="F313" s="78"/>
      <c r="G313" s="78">
        <f t="shared" si="320"/>
        <v>7500</v>
      </c>
      <c r="H313" s="78"/>
      <c r="I313" s="78">
        <f t="shared" si="321"/>
        <v>7500</v>
      </c>
      <c r="J313" s="78"/>
      <c r="K313" s="78">
        <f t="shared" si="322"/>
        <v>7500</v>
      </c>
      <c r="L313" s="78"/>
      <c r="M313" s="78">
        <f t="shared" si="323"/>
        <v>7500</v>
      </c>
      <c r="N313" s="78"/>
      <c r="O313" s="78">
        <f t="shared" si="324"/>
        <v>7500</v>
      </c>
      <c r="P313" s="78"/>
      <c r="Q313" s="78">
        <f t="shared" si="325"/>
        <v>7500</v>
      </c>
      <c r="R313" s="78"/>
      <c r="S313" s="78">
        <f t="shared" si="326"/>
        <v>7500</v>
      </c>
      <c r="T313" s="78"/>
      <c r="U313" s="78">
        <f t="shared" si="327"/>
        <v>7500</v>
      </c>
      <c r="V313" s="78"/>
      <c r="W313" s="78">
        <f t="shared" si="328"/>
        <v>7500</v>
      </c>
      <c r="X313" s="78"/>
      <c r="Y313" s="78">
        <f t="shared" si="329"/>
        <v>7500</v>
      </c>
      <c r="Z313" s="78"/>
      <c r="AA313" s="78">
        <f t="shared" si="330"/>
        <v>7500</v>
      </c>
      <c r="AB313" s="78"/>
      <c r="AC313" s="78">
        <f t="shared" si="331"/>
        <v>7500</v>
      </c>
      <c r="AD313" s="78"/>
      <c r="AE313" s="78">
        <f t="shared" si="332"/>
        <v>7500</v>
      </c>
      <c r="AF313" s="78"/>
      <c r="AG313" s="78">
        <f t="shared" si="333"/>
        <v>7500</v>
      </c>
      <c r="AH313" s="78"/>
      <c r="AI313" s="78">
        <f t="shared" si="334"/>
        <v>7500</v>
      </c>
      <c r="AJ313" s="78">
        <v>-1000</v>
      </c>
      <c r="AK313" s="78">
        <f t="shared" si="335"/>
        <v>6500</v>
      </c>
      <c r="AL313" s="78"/>
      <c r="AM313" s="78">
        <f t="shared" si="336"/>
        <v>6500</v>
      </c>
    </row>
    <row r="314" spans="1:39" s="23" customFormat="1" ht="24.75" customHeight="1">
      <c r="A314" s="64"/>
      <c r="B314" s="79"/>
      <c r="C314" s="83">
        <v>4390</v>
      </c>
      <c r="D314" s="37" t="s">
        <v>239</v>
      </c>
      <c r="E314" s="78">
        <v>2400</v>
      </c>
      <c r="F314" s="78"/>
      <c r="G314" s="78">
        <f t="shared" si="320"/>
        <v>2400</v>
      </c>
      <c r="H314" s="78"/>
      <c r="I314" s="78">
        <f t="shared" si="321"/>
        <v>2400</v>
      </c>
      <c r="J314" s="78"/>
      <c r="K314" s="78">
        <f t="shared" si="322"/>
        <v>2400</v>
      </c>
      <c r="L314" s="78"/>
      <c r="M314" s="78">
        <f t="shared" si="323"/>
        <v>2400</v>
      </c>
      <c r="N314" s="78"/>
      <c r="O314" s="78">
        <f t="shared" si="324"/>
        <v>2400</v>
      </c>
      <c r="P314" s="78"/>
      <c r="Q314" s="78">
        <f t="shared" si="325"/>
        <v>2400</v>
      </c>
      <c r="R314" s="78"/>
      <c r="S314" s="78">
        <f t="shared" si="326"/>
        <v>2400</v>
      </c>
      <c r="T314" s="78"/>
      <c r="U314" s="78">
        <f t="shared" si="327"/>
        <v>2400</v>
      </c>
      <c r="V314" s="78"/>
      <c r="W314" s="78">
        <f t="shared" si="328"/>
        <v>2400</v>
      </c>
      <c r="X314" s="78"/>
      <c r="Y314" s="78">
        <f t="shared" si="329"/>
        <v>2400</v>
      </c>
      <c r="Z314" s="78"/>
      <c r="AA314" s="78">
        <f t="shared" si="330"/>
        <v>2400</v>
      </c>
      <c r="AB314" s="78"/>
      <c r="AC314" s="78">
        <f t="shared" si="331"/>
        <v>2400</v>
      </c>
      <c r="AD314" s="78"/>
      <c r="AE314" s="78">
        <f t="shared" si="332"/>
        <v>2400</v>
      </c>
      <c r="AF314" s="78"/>
      <c r="AG314" s="78">
        <f t="shared" si="333"/>
        <v>2400</v>
      </c>
      <c r="AH314" s="78"/>
      <c r="AI314" s="78">
        <f t="shared" si="334"/>
        <v>2400</v>
      </c>
      <c r="AJ314" s="78">
        <f>-1600-400</f>
        <v>-2000</v>
      </c>
      <c r="AK314" s="78">
        <f t="shared" si="335"/>
        <v>400</v>
      </c>
      <c r="AL314" s="78"/>
      <c r="AM314" s="78">
        <f t="shared" si="336"/>
        <v>400</v>
      </c>
    </row>
    <row r="315" spans="1:39" s="23" customFormat="1" ht="21" customHeight="1">
      <c r="A315" s="64"/>
      <c r="B315" s="79"/>
      <c r="C315" s="83">
        <v>4410</v>
      </c>
      <c r="D315" s="37" t="s">
        <v>89</v>
      </c>
      <c r="E315" s="78">
        <v>7800</v>
      </c>
      <c r="F315" s="78"/>
      <c r="G315" s="78">
        <f t="shared" si="320"/>
        <v>7800</v>
      </c>
      <c r="H315" s="78"/>
      <c r="I315" s="78">
        <f t="shared" si="321"/>
        <v>7800</v>
      </c>
      <c r="J315" s="78"/>
      <c r="K315" s="78">
        <f t="shared" si="322"/>
        <v>7800</v>
      </c>
      <c r="L315" s="78"/>
      <c r="M315" s="78">
        <f t="shared" si="323"/>
        <v>7800</v>
      </c>
      <c r="N315" s="78"/>
      <c r="O315" s="78">
        <f t="shared" si="324"/>
        <v>7800</v>
      </c>
      <c r="P315" s="78"/>
      <c r="Q315" s="78">
        <f t="shared" si="325"/>
        <v>7800</v>
      </c>
      <c r="R315" s="78"/>
      <c r="S315" s="78">
        <f t="shared" si="326"/>
        <v>7800</v>
      </c>
      <c r="T315" s="78">
        <v>1000</v>
      </c>
      <c r="U315" s="78">
        <f t="shared" si="327"/>
        <v>8800</v>
      </c>
      <c r="V315" s="78"/>
      <c r="W315" s="78">
        <f t="shared" si="328"/>
        <v>8800</v>
      </c>
      <c r="X315" s="78"/>
      <c r="Y315" s="78">
        <f t="shared" si="329"/>
        <v>8800</v>
      </c>
      <c r="Z315" s="78"/>
      <c r="AA315" s="78">
        <f t="shared" si="330"/>
        <v>8800</v>
      </c>
      <c r="AB315" s="78"/>
      <c r="AC315" s="78">
        <f t="shared" si="331"/>
        <v>8800</v>
      </c>
      <c r="AD315" s="78"/>
      <c r="AE315" s="78">
        <f t="shared" si="332"/>
        <v>8800</v>
      </c>
      <c r="AF315" s="78"/>
      <c r="AG315" s="78">
        <f t="shared" si="333"/>
        <v>8800</v>
      </c>
      <c r="AH315" s="78"/>
      <c r="AI315" s="78">
        <f t="shared" si="334"/>
        <v>8800</v>
      </c>
      <c r="AJ315" s="78">
        <v>218</v>
      </c>
      <c r="AK315" s="78">
        <f t="shared" si="335"/>
        <v>9018</v>
      </c>
      <c r="AL315" s="78"/>
      <c r="AM315" s="78">
        <f t="shared" si="336"/>
        <v>9018</v>
      </c>
    </row>
    <row r="316" spans="1:39" s="23" customFormat="1" ht="21" customHeight="1">
      <c r="A316" s="64"/>
      <c r="B316" s="79"/>
      <c r="C316" s="83">
        <v>4420</v>
      </c>
      <c r="D316" s="37" t="s">
        <v>92</v>
      </c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>
        <v>0</v>
      </c>
      <c r="AJ316" s="78">
        <v>682</v>
      </c>
      <c r="AK316" s="78">
        <f t="shared" si="335"/>
        <v>682</v>
      </c>
      <c r="AL316" s="78"/>
      <c r="AM316" s="78">
        <f t="shared" si="336"/>
        <v>682</v>
      </c>
    </row>
    <row r="317" spans="1:39" s="23" customFormat="1" ht="21" customHeight="1">
      <c r="A317" s="64"/>
      <c r="B317" s="79"/>
      <c r="C317" s="83">
        <v>4430</v>
      </c>
      <c r="D317" s="37" t="s">
        <v>93</v>
      </c>
      <c r="E317" s="78">
        <v>3050</v>
      </c>
      <c r="F317" s="78"/>
      <c r="G317" s="78">
        <f t="shared" si="320"/>
        <v>3050</v>
      </c>
      <c r="H317" s="78"/>
      <c r="I317" s="78">
        <f t="shared" si="321"/>
        <v>3050</v>
      </c>
      <c r="J317" s="78"/>
      <c r="K317" s="78">
        <f t="shared" si="322"/>
        <v>3050</v>
      </c>
      <c r="L317" s="78"/>
      <c r="M317" s="78">
        <f t="shared" si="323"/>
        <v>3050</v>
      </c>
      <c r="N317" s="78"/>
      <c r="O317" s="78">
        <f t="shared" si="324"/>
        <v>3050</v>
      </c>
      <c r="P317" s="78"/>
      <c r="Q317" s="78">
        <f t="shared" si="325"/>
        <v>3050</v>
      </c>
      <c r="R317" s="78"/>
      <c r="S317" s="78">
        <f t="shared" si="326"/>
        <v>3050</v>
      </c>
      <c r="T317" s="78"/>
      <c r="U317" s="78">
        <f t="shared" si="327"/>
        <v>3050</v>
      </c>
      <c r="V317" s="78"/>
      <c r="W317" s="78">
        <f t="shared" si="328"/>
        <v>3050</v>
      </c>
      <c r="X317" s="78"/>
      <c r="Y317" s="78">
        <f t="shared" si="329"/>
        <v>3050</v>
      </c>
      <c r="Z317" s="78"/>
      <c r="AA317" s="78">
        <f t="shared" si="330"/>
        <v>3050</v>
      </c>
      <c r="AB317" s="78"/>
      <c r="AC317" s="78">
        <f t="shared" si="331"/>
        <v>3050</v>
      </c>
      <c r="AD317" s="78"/>
      <c r="AE317" s="78">
        <f t="shared" si="332"/>
        <v>3050</v>
      </c>
      <c r="AF317" s="78"/>
      <c r="AG317" s="78">
        <f t="shared" si="333"/>
        <v>3050</v>
      </c>
      <c r="AH317" s="78"/>
      <c r="AI317" s="78">
        <f t="shared" si="334"/>
        <v>3050</v>
      </c>
      <c r="AJ317" s="78">
        <f>233-1097</f>
        <v>-864</v>
      </c>
      <c r="AK317" s="78">
        <f t="shared" si="335"/>
        <v>2186</v>
      </c>
      <c r="AL317" s="78"/>
      <c r="AM317" s="78">
        <f t="shared" si="336"/>
        <v>2186</v>
      </c>
    </row>
    <row r="318" spans="1:39" s="23" customFormat="1" ht="21" customHeight="1">
      <c r="A318" s="64"/>
      <c r="B318" s="79"/>
      <c r="C318" s="83">
        <v>4440</v>
      </c>
      <c r="D318" s="37" t="s">
        <v>87</v>
      </c>
      <c r="E318" s="78">
        <v>213124</v>
      </c>
      <c r="F318" s="78"/>
      <c r="G318" s="78">
        <f t="shared" si="320"/>
        <v>213124</v>
      </c>
      <c r="H318" s="78"/>
      <c r="I318" s="78">
        <f t="shared" si="321"/>
        <v>213124</v>
      </c>
      <c r="J318" s="78"/>
      <c r="K318" s="78">
        <f t="shared" si="322"/>
        <v>213124</v>
      </c>
      <c r="L318" s="78"/>
      <c r="M318" s="78">
        <f t="shared" si="323"/>
        <v>213124</v>
      </c>
      <c r="N318" s="78"/>
      <c r="O318" s="78">
        <f t="shared" si="324"/>
        <v>213124</v>
      </c>
      <c r="P318" s="78"/>
      <c r="Q318" s="78">
        <f t="shared" si="325"/>
        <v>213124</v>
      </c>
      <c r="R318" s="78"/>
      <c r="S318" s="78">
        <f t="shared" si="326"/>
        <v>213124</v>
      </c>
      <c r="T318" s="78"/>
      <c r="U318" s="78">
        <f t="shared" si="327"/>
        <v>213124</v>
      </c>
      <c r="V318" s="78"/>
      <c r="W318" s="78">
        <f t="shared" si="328"/>
        <v>213124</v>
      </c>
      <c r="X318" s="78"/>
      <c r="Y318" s="78">
        <f t="shared" si="329"/>
        <v>213124</v>
      </c>
      <c r="Z318" s="78"/>
      <c r="AA318" s="78">
        <f t="shared" si="330"/>
        <v>213124</v>
      </c>
      <c r="AB318" s="78"/>
      <c r="AC318" s="78">
        <f t="shared" si="331"/>
        <v>213124</v>
      </c>
      <c r="AD318" s="78"/>
      <c r="AE318" s="78">
        <f t="shared" si="332"/>
        <v>213124</v>
      </c>
      <c r="AF318" s="78"/>
      <c r="AG318" s="78">
        <f t="shared" si="333"/>
        <v>213124</v>
      </c>
      <c r="AH318" s="78"/>
      <c r="AI318" s="78">
        <f t="shared" si="334"/>
        <v>213124</v>
      </c>
      <c r="AJ318" s="78"/>
      <c r="AK318" s="78">
        <f t="shared" si="335"/>
        <v>213124</v>
      </c>
      <c r="AL318" s="78"/>
      <c r="AM318" s="78">
        <f t="shared" si="336"/>
        <v>213124</v>
      </c>
    </row>
    <row r="319" spans="1:39" s="23" customFormat="1" ht="27" customHeight="1">
      <c r="A319" s="64"/>
      <c r="B319" s="79"/>
      <c r="C319" s="83">
        <v>4700</v>
      </c>
      <c r="D319" s="37" t="s">
        <v>234</v>
      </c>
      <c r="E319" s="78">
        <v>2500</v>
      </c>
      <c r="F319" s="78"/>
      <c r="G319" s="78">
        <f t="shared" si="320"/>
        <v>2500</v>
      </c>
      <c r="H319" s="78"/>
      <c r="I319" s="78">
        <f t="shared" si="321"/>
        <v>2500</v>
      </c>
      <c r="J319" s="78"/>
      <c r="K319" s="78">
        <f t="shared" si="322"/>
        <v>2500</v>
      </c>
      <c r="L319" s="78"/>
      <c r="M319" s="78">
        <f t="shared" si="323"/>
        <v>2500</v>
      </c>
      <c r="N319" s="78"/>
      <c r="O319" s="78">
        <f t="shared" si="324"/>
        <v>2500</v>
      </c>
      <c r="P319" s="78"/>
      <c r="Q319" s="78">
        <f t="shared" si="325"/>
        <v>2500</v>
      </c>
      <c r="R319" s="78"/>
      <c r="S319" s="78">
        <f t="shared" si="326"/>
        <v>2500</v>
      </c>
      <c r="T319" s="78"/>
      <c r="U319" s="78">
        <f t="shared" si="327"/>
        <v>2500</v>
      </c>
      <c r="V319" s="78"/>
      <c r="W319" s="78">
        <f t="shared" si="328"/>
        <v>2500</v>
      </c>
      <c r="X319" s="78"/>
      <c r="Y319" s="78">
        <f t="shared" si="329"/>
        <v>2500</v>
      </c>
      <c r="Z319" s="78"/>
      <c r="AA319" s="78">
        <f t="shared" si="330"/>
        <v>2500</v>
      </c>
      <c r="AB319" s="78"/>
      <c r="AC319" s="78">
        <f t="shared" si="331"/>
        <v>2500</v>
      </c>
      <c r="AD319" s="78"/>
      <c r="AE319" s="78">
        <f t="shared" si="332"/>
        <v>2500</v>
      </c>
      <c r="AF319" s="78"/>
      <c r="AG319" s="78">
        <f t="shared" si="333"/>
        <v>2500</v>
      </c>
      <c r="AH319" s="78"/>
      <c r="AI319" s="78">
        <f t="shared" si="334"/>
        <v>2500</v>
      </c>
      <c r="AJ319" s="78">
        <f>-500-200</f>
        <v>-700</v>
      </c>
      <c r="AK319" s="78">
        <f t="shared" si="335"/>
        <v>1800</v>
      </c>
      <c r="AL319" s="78"/>
      <c r="AM319" s="78">
        <f t="shared" si="336"/>
        <v>1800</v>
      </c>
    </row>
    <row r="320" spans="1:39" s="23" customFormat="1" ht="27" customHeight="1">
      <c r="A320" s="64"/>
      <c r="B320" s="79"/>
      <c r="C320" s="83">
        <v>4740</v>
      </c>
      <c r="D320" s="37" t="s">
        <v>249</v>
      </c>
      <c r="E320" s="78">
        <v>3000</v>
      </c>
      <c r="F320" s="78"/>
      <c r="G320" s="78">
        <f t="shared" si="320"/>
        <v>3000</v>
      </c>
      <c r="H320" s="78"/>
      <c r="I320" s="78">
        <f t="shared" si="321"/>
        <v>3000</v>
      </c>
      <c r="J320" s="78"/>
      <c r="K320" s="78">
        <f t="shared" si="322"/>
        <v>3000</v>
      </c>
      <c r="L320" s="78"/>
      <c r="M320" s="78">
        <f t="shared" si="323"/>
        <v>3000</v>
      </c>
      <c r="N320" s="78"/>
      <c r="O320" s="78">
        <f t="shared" si="324"/>
        <v>3000</v>
      </c>
      <c r="P320" s="78"/>
      <c r="Q320" s="78">
        <f t="shared" si="325"/>
        <v>3000</v>
      </c>
      <c r="R320" s="78"/>
      <c r="S320" s="78">
        <f t="shared" si="326"/>
        <v>3000</v>
      </c>
      <c r="T320" s="78"/>
      <c r="U320" s="78">
        <f t="shared" si="327"/>
        <v>3000</v>
      </c>
      <c r="V320" s="78"/>
      <c r="W320" s="78">
        <f t="shared" si="328"/>
        <v>3000</v>
      </c>
      <c r="X320" s="78"/>
      <c r="Y320" s="78">
        <f t="shared" si="329"/>
        <v>3000</v>
      </c>
      <c r="Z320" s="78"/>
      <c r="AA320" s="78">
        <f t="shared" si="330"/>
        <v>3000</v>
      </c>
      <c r="AB320" s="78"/>
      <c r="AC320" s="78">
        <f t="shared" si="331"/>
        <v>3000</v>
      </c>
      <c r="AD320" s="78"/>
      <c r="AE320" s="78">
        <f t="shared" si="332"/>
        <v>3000</v>
      </c>
      <c r="AF320" s="78"/>
      <c r="AG320" s="78">
        <f t="shared" si="333"/>
        <v>3000</v>
      </c>
      <c r="AH320" s="78"/>
      <c r="AI320" s="78">
        <f t="shared" si="334"/>
        <v>3000</v>
      </c>
      <c r="AJ320" s="78">
        <v>-500</v>
      </c>
      <c r="AK320" s="78">
        <f t="shared" si="335"/>
        <v>2500</v>
      </c>
      <c r="AL320" s="78"/>
      <c r="AM320" s="78">
        <f t="shared" si="336"/>
        <v>2500</v>
      </c>
    </row>
    <row r="321" spans="1:39" s="23" customFormat="1" ht="22.5">
      <c r="A321" s="64"/>
      <c r="B321" s="79"/>
      <c r="C321" s="83">
        <v>4750</v>
      </c>
      <c r="D321" s="12" t="s">
        <v>222</v>
      </c>
      <c r="E321" s="78">
        <v>13300</v>
      </c>
      <c r="F321" s="78"/>
      <c r="G321" s="78">
        <f t="shared" si="320"/>
        <v>13300</v>
      </c>
      <c r="H321" s="78"/>
      <c r="I321" s="78">
        <f t="shared" si="321"/>
        <v>13300</v>
      </c>
      <c r="J321" s="78"/>
      <c r="K321" s="78">
        <f t="shared" si="322"/>
        <v>13300</v>
      </c>
      <c r="L321" s="78"/>
      <c r="M321" s="78">
        <f t="shared" si="323"/>
        <v>13300</v>
      </c>
      <c r="N321" s="78"/>
      <c r="O321" s="78">
        <f t="shared" si="324"/>
        <v>13300</v>
      </c>
      <c r="P321" s="78"/>
      <c r="Q321" s="78">
        <f t="shared" si="325"/>
        <v>13300</v>
      </c>
      <c r="R321" s="78"/>
      <c r="S321" s="78">
        <f t="shared" si="326"/>
        <v>13300</v>
      </c>
      <c r="T321" s="78"/>
      <c r="U321" s="78">
        <f t="shared" si="327"/>
        <v>13300</v>
      </c>
      <c r="V321" s="78"/>
      <c r="W321" s="78">
        <f t="shared" si="328"/>
        <v>13300</v>
      </c>
      <c r="X321" s="78"/>
      <c r="Y321" s="78">
        <f t="shared" si="329"/>
        <v>13300</v>
      </c>
      <c r="Z321" s="78"/>
      <c r="AA321" s="78">
        <f t="shared" si="330"/>
        <v>13300</v>
      </c>
      <c r="AB321" s="78"/>
      <c r="AC321" s="78">
        <f t="shared" si="331"/>
        <v>13300</v>
      </c>
      <c r="AD321" s="78"/>
      <c r="AE321" s="78">
        <f t="shared" si="332"/>
        <v>13300</v>
      </c>
      <c r="AF321" s="78"/>
      <c r="AG321" s="78">
        <f t="shared" si="333"/>
        <v>13300</v>
      </c>
      <c r="AH321" s="78"/>
      <c r="AI321" s="78">
        <f t="shared" si="334"/>
        <v>13300</v>
      </c>
      <c r="AJ321" s="78">
        <v>-2000</v>
      </c>
      <c r="AK321" s="78">
        <f t="shared" si="335"/>
        <v>11300</v>
      </c>
      <c r="AL321" s="78"/>
      <c r="AM321" s="78">
        <f t="shared" si="336"/>
        <v>11300</v>
      </c>
    </row>
    <row r="322" spans="1:39" s="23" customFormat="1" ht="22.5">
      <c r="A322" s="64"/>
      <c r="B322" s="79"/>
      <c r="C322" s="83">
        <v>6050</v>
      </c>
      <c r="D322" s="12" t="s">
        <v>72</v>
      </c>
      <c r="E322" s="78">
        <f>4350000+868000+600000+100000</f>
        <v>5918000</v>
      </c>
      <c r="F322" s="78">
        <f>-400000-138184-213000</f>
        <v>-751184</v>
      </c>
      <c r="G322" s="78">
        <f t="shared" si="320"/>
        <v>5166816</v>
      </c>
      <c r="H322" s="78"/>
      <c r="I322" s="78">
        <f t="shared" si="321"/>
        <v>5166816</v>
      </c>
      <c r="J322" s="78"/>
      <c r="K322" s="78">
        <f t="shared" si="322"/>
        <v>5166816</v>
      </c>
      <c r="L322" s="78">
        <f>15000</f>
        <v>15000</v>
      </c>
      <c r="M322" s="78">
        <f t="shared" si="323"/>
        <v>5181816</v>
      </c>
      <c r="N322" s="78"/>
      <c r="O322" s="78">
        <f t="shared" si="324"/>
        <v>5181816</v>
      </c>
      <c r="P322" s="78"/>
      <c r="Q322" s="78">
        <f t="shared" si="325"/>
        <v>5181816</v>
      </c>
      <c r="R322" s="78">
        <f>17400+70000</f>
        <v>87400</v>
      </c>
      <c r="S322" s="78">
        <f t="shared" si="326"/>
        <v>5269216</v>
      </c>
      <c r="T322" s="78"/>
      <c r="U322" s="78">
        <f t="shared" si="327"/>
        <v>5269216</v>
      </c>
      <c r="V322" s="78"/>
      <c r="W322" s="78">
        <f t="shared" si="328"/>
        <v>5269216</v>
      </c>
      <c r="X322" s="78"/>
      <c r="Y322" s="78">
        <f t="shared" si="329"/>
        <v>5269216</v>
      </c>
      <c r="Z322" s="78"/>
      <c r="AA322" s="78">
        <f t="shared" si="330"/>
        <v>5269216</v>
      </c>
      <c r="AB322" s="78"/>
      <c r="AC322" s="78">
        <f t="shared" si="331"/>
        <v>5269216</v>
      </c>
      <c r="AD322" s="78"/>
      <c r="AE322" s="78">
        <f t="shared" si="332"/>
        <v>5269216</v>
      </c>
      <c r="AF322" s="78"/>
      <c r="AG322" s="78">
        <f t="shared" si="333"/>
        <v>5269216</v>
      </c>
      <c r="AH322" s="78"/>
      <c r="AI322" s="78">
        <f t="shared" si="334"/>
        <v>5269216</v>
      </c>
      <c r="AJ322" s="78">
        <v>-45000</v>
      </c>
      <c r="AK322" s="78">
        <f t="shared" si="335"/>
        <v>5224216</v>
      </c>
      <c r="AL322" s="78">
        <f>50000-50000</f>
        <v>0</v>
      </c>
      <c r="AM322" s="78">
        <f t="shared" si="336"/>
        <v>5224216</v>
      </c>
    </row>
    <row r="323" spans="1:39" s="23" customFormat="1" ht="21" customHeight="1">
      <c r="A323" s="64"/>
      <c r="B323" s="69" t="s">
        <v>115</v>
      </c>
      <c r="C323" s="46"/>
      <c r="D323" s="12" t="s">
        <v>116</v>
      </c>
      <c r="E323" s="68">
        <f aca="true" t="shared" si="337" ref="E323:W323">SUM(E324:E329)</f>
        <v>308500</v>
      </c>
      <c r="F323" s="68">
        <f t="shared" si="337"/>
        <v>0</v>
      </c>
      <c r="G323" s="68">
        <f t="shared" si="337"/>
        <v>308500</v>
      </c>
      <c r="H323" s="68">
        <f t="shared" si="337"/>
        <v>0</v>
      </c>
      <c r="I323" s="68">
        <f t="shared" si="337"/>
        <v>308500</v>
      </c>
      <c r="J323" s="68">
        <f t="shared" si="337"/>
        <v>0</v>
      </c>
      <c r="K323" s="68">
        <f t="shared" si="337"/>
        <v>308500</v>
      </c>
      <c r="L323" s="68">
        <f t="shared" si="337"/>
        <v>0</v>
      </c>
      <c r="M323" s="68">
        <f t="shared" si="337"/>
        <v>308500</v>
      </c>
      <c r="N323" s="68">
        <f t="shared" si="337"/>
        <v>0</v>
      </c>
      <c r="O323" s="68">
        <f t="shared" si="337"/>
        <v>308500</v>
      </c>
      <c r="P323" s="68">
        <f t="shared" si="337"/>
        <v>0</v>
      </c>
      <c r="Q323" s="68">
        <f t="shared" si="337"/>
        <v>308500</v>
      </c>
      <c r="R323" s="68">
        <f t="shared" si="337"/>
        <v>0</v>
      </c>
      <c r="S323" s="68">
        <f t="shared" si="337"/>
        <v>308500</v>
      </c>
      <c r="T323" s="68">
        <f t="shared" si="337"/>
        <v>0</v>
      </c>
      <c r="U323" s="68">
        <f t="shared" si="337"/>
        <v>308500</v>
      </c>
      <c r="V323" s="68">
        <f t="shared" si="337"/>
        <v>0</v>
      </c>
      <c r="W323" s="68">
        <f t="shared" si="337"/>
        <v>308500</v>
      </c>
      <c r="X323" s="68">
        <f aca="true" t="shared" si="338" ref="X323:AC323">SUM(X324:X329)</f>
        <v>0</v>
      </c>
      <c r="Y323" s="68">
        <f t="shared" si="338"/>
        <v>308500</v>
      </c>
      <c r="Z323" s="68">
        <f t="shared" si="338"/>
        <v>0</v>
      </c>
      <c r="AA323" s="68">
        <f t="shared" si="338"/>
        <v>308500</v>
      </c>
      <c r="AB323" s="68">
        <f t="shared" si="338"/>
        <v>0</v>
      </c>
      <c r="AC323" s="68">
        <f t="shared" si="338"/>
        <v>308500</v>
      </c>
      <c r="AD323" s="68">
        <f aca="true" t="shared" si="339" ref="AD323:AI323">SUM(AD324:AD329)</f>
        <v>0</v>
      </c>
      <c r="AE323" s="68">
        <f t="shared" si="339"/>
        <v>308500</v>
      </c>
      <c r="AF323" s="68">
        <f t="shared" si="339"/>
        <v>0</v>
      </c>
      <c r="AG323" s="68">
        <f t="shared" si="339"/>
        <v>308500</v>
      </c>
      <c r="AH323" s="68">
        <f t="shared" si="339"/>
        <v>0</v>
      </c>
      <c r="AI323" s="68">
        <f t="shared" si="339"/>
        <v>308500</v>
      </c>
      <c r="AJ323" s="68">
        <f>SUM(AJ324:AJ329)</f>
        <v>0</v>
      </c>
      <c r="AK323" s="68">
        <f>SUM(AK324:AK329)</f>
        <v>308500</v>
      </c>
      <c r="AL323" s="68">
        <f>SUM(AL324:AL329)</f>
        <v>0</v>
      </c>
      <c r="AM323" s="68">
        <f>SUM(AM324:AM329)</f>
        <v>308500</v>
      </c>
    </row>
    <row r="324" spans="1:42" s="23" customFormat="1" ht="21" customHeight="1">
      <c r="A324" s="64"/>
      <c r="B324" s="69"/>
      <c r="C324" s="46">
        <v>4110</v>
      </c>
      <c r="D324" s="37" t="s">
        <v>85</v>
      </c>
      <c r="E324" s="68">
        <v>3110</v>
      </c>
      <c r="F324" s="68"/>
      <c r="G324" s="68">
        <f aca="true" t="shared" si="340" ref="G324:G329">SUM(E324:F324)</f>
        <v>3110</v>
      </c>
      <c r="H324" s="68"/>
      <c r="I324" s="68">
        <f aca="true" t="shared" si="341" ref="I324:I329">SUM(G324:H324)</f>
        <v>3110</v>
      </c>
      <c r="J324" s="68"/>
      <c r="K324" s="68">
        <f aca="true" t="shared" si="342" ref="K324:K329">SUM(I324:J324)</f>
        <v>3110</v>
      </c>
      <c r="L324" s="68"/>
      <c r="M324" s="68">
        <f aca="true" t="shared" si="343" ref="M324:M329">SUM(K324:L324)</f>
        <v>3110</v>
      </c>
      <c r="N324" s="68"/>
      <c r="O324" s="68">
        <f aca="true" t="shared" si="344" ref="O324:O329">SUM(M324:N324)</f>
        <v>3110</v>
      </c>
      <c r="P324" s="68"/>
      <c r="Q324" s="68">
        <f aca="true" t="shared" si="345" ref="Q324:Q329">SUM(O324:P324)</f>
        <v>3110</v>
      </c>
      <c r="R324" s="68"/>
      <c r="S324" s="68">
        <f aca="true" t="shared" si="346" ref="S324:S329">SUM(Q324:R324)</f>
        <v>3110</v>
      </c>
      <c r="T324" s="68"/>
      <c r="U324" s="68">
        <f aca="true" t="shared" si="347" ref="U324:U329">SUM(S324:T324)</f>
        <v>3110</v>
      </c>
      <c r="V324" s="68"/>
      <c r="W324" s="68">
        <f aca="true" t="shared" si="348" ref="W324:W329">SUM(U324:V324)</f>
        <v>3110</v>
      </c>
      <c r="X324" s="68"/>
      <c r="Y324" s="68">
        <f aca="true" t="shared" si="349" ref="Y324:Y329">SUM(W324:X324)</f>
        <v>3110</v>
      </c>
      <c r="Z324" s="68"/>
      <c r="AA324" s="68">
        <f aca="true" t="shared" si="350" ref="AA324:AA329">SUM(Y324:Z324)</f>
        <v>3110</v>
      </c>
      <c r="AB324" s="68"/>
      <c r="AC324" s="68">
        <f aca="true" t="shared" si="351" ref="AC324:AC329">SUM(AA324:AB324)</f>
        <v>3110</v>
      </c>
      <c r="AD324" s="68"/>
      <c r="AE324" s="68">
        <f aca="true" t="shared" si="352" ref="AE324:AE329">SUM(AC324:AD324)</f>
        <v>3110</v>
      </c>
      <c r="AF324" s="68"/>
      <c r="AG324" s="68">
        <f aca="true" t="shared" si="353" ref="AG324:AG329">SUM(AE324:AF324)</f>
        <v>3110</v>
      </c>
      <c r="AH324" s="68"/>
      <c r="AI324" s="68">
        <f aca="true" t="shared" si="354" ref="AI324:AI329">SUM(AG324:AH324)</f>
        <v>3110</v>
      </c>
      <c r="AJ324" s="68"/>
      <c r="AK324" s="68">
        <f aca="true" t="shared" si="355" ref="AK324:AK329">SUM(AI324:AJ324)</f>
        <v>3110</v>
      </c>
      <c r="AL324" s="68"/>
      <c r="AM324" s="68">
        <f aca="true" t="shared" si="356" ref="AM324:AM329">SUM(AK324:AL324)</f>
        <v>3110</v>
      </c>
      <c r="AN324" s="113"/>
      <c r="AO324" s="113"/>
      <c r="AP324" s="113"/>
    </row>
    <row r="325" spans="1:42" s="23" customFormat="1" ht="21" customHeight="1">
      <c r="A325" s="64"/>
      <c r="B325" s="69"/>
      <c r="C325" s="46">
        <v>4120</v>
      </c>
      <c r="D325" s="37" t="s">
        <v>86</v>
      </c>
      <c r="E325" s="68">
        <v>441</v>
      </c>
      <c r="F325" s="68"/>
      <c r="G325" s="68">
        <f t="shared" si="340"/>
        <v>441</v>
      </c>
      <c r="H325" s="68"/>
      <c r="I325" s="68">
        <f t="shared" si="341"/>
        <v>441</v>
      </c>
      <c r="J325" s="68"/>
      <c r="K325" s="68">
        <f t="shared" si="342"/>
        <v>441</v>
      </c>
      <c r="L325" s="68"/>
      <c r="M325" s="68">
        <f t="shared" si="343"/>
        <v>441</v>
      </c>
      <c r="N325" s="68"/>
      <c r="O325" s="68">
        <f t="shared" si="344"/>
        <v>441</v>
      </c>
      <c r="P325" s="68"/>
      <c r="Q325" s="68">
        <f t="shared" si="345"/>
        <v>441</v>
      </c>
      <c r="R325" s="68"/>
      <c r="S325" s="68">
        <f t="shared" si="346"/>
        <v>441</v>
      </c>
      <c r="T325" s="68"/>
      <c r="U325" s="68">
        <f t="shared" si="347"/>
        <v>441</v>
      </c>
      <c r="V325" s="68"/>
      <c r="W325" s="68">
        <f t="shared" si="348"/>
        <v>441</v>
      </c>
      <c r="X325" s="68"/>
      <c r="Y325" s="68">
        <f t="shared" si="349"/>
        <v>441</v>
      </c>
      <c r="Z325" s="68"/>
      <c r="AA325" s="68">
        <f t="shared" si="350"/>
        <v>441</v>
      </c>
      <c r="AB325" s="68"/>
      <c r="AC325" s="68">
        <f t="shared" si="351"/>
        <v>441</v>
      </c>
      <c r="AD325" s="68"/>
      <c r="AE325" s="68">
        <f t="shared" si="352"/>
        <v>441</v>
      </c>
      <c r="AF325" s="68"/>
      <c r="AG325" s="68">
        <f t="shared" si="353"/>
        <v>441</v>
      </c>
      <c r="AH325" s="68"/>
      <c r="AI325" s="68">
        <f t="shared" si="354"/>
        <v>441</v>
      </c>
      <c r="AJ325" s="68"/>
      <c r="AK325" s="68">
        <f t="shared" si="355"/>
        <v>441</v>
      </c>
      <c r="AL325" s="68"/>
      <c r="AM325" s="68">
        <f t="shared" si="356"/>
        <v>441</v>
      </c>
      <c r="AN325" s="113"/>
      <c r="AO325" s="113"/>
      <c r="AP325" s="113"/>
    </row>
    <row r="326" spans="1:42" s="23" customFormat="1" ht="21" customHeight="1">
      <c r="A326" s="64"/>
      <c r="B326" s="69"/>
      <c r="C326" s="46">
        <v>4170</v>
      </c>
      <c r="D326" s="37" t="s">
        <v>189</v>
      </c>
      <c r="E326" s="68">
        <v>33000</v>
      </c>
      <c r="F326" s="68"/>
      <c r="G326" s="68">
        <f t="shared" si="340"/>
        <v>33000</v>
      </c>
      <c r="H326" s="68"/>
      <c r="I326" s="68">
        <f t="shared" si="341"/>
        <v>33000</v>
      </c>
      <c r="J326" s="68"/>
      <c r="K326" s="68">
        <f t="shared" si="342"/>
        <v>33000</v>
      </c>
      <c r="L326" s="68"/>
      <c r="M326" s="68">
        <f t="shared" si="343"/>
        <v>33000</v>
      </c>
      <c r="N326" s="68"/>
      <c r="O326" s="68">
        <f t="shared" si="344"/>
        <v>33000</v>
      </c>
      <c r="P326" s="68"/>
      <c r="Q326" s="68">
        <f t="shared" si="345"/>
        <v>33000</v>
      </c>
      <c r="R326" s="68"/>
      <c r="S326" s="68">
        <f t="shared" si="346"/>
        <v>33000</v>
      </c>
      <c r="T326" s="68"/>
      <c r="U326" s="68">
        <f t="shared" si="347"/>
        <v>33000</v>
      </c>
      <c r="V326" s="68"/>
      <c r="W326" s="68">
        <f t="shared" si="348"/>
        <v>33000</v>
      </c>
      <c r="X326" s="68"/>
      <c r="Y326" s="68">
        <f t="shared" si="349"/>
        <v>33000</v>
      </c>
      <c r="Z326" s="68"/>
      <c r="AA326" s="68">
        <f t="shared" si="350"/>
        <v>33000</v>
      </c>
      <c r="AB326" s="68"/>
      <c r="AC326" s="68">
        <f t="shared" si="351"/>
        <v>33000</v>
      </c>
      <c r="AD326" s="68"/>
      <c r="AE326" s="68">
        <f t="shared" si="352"/>
        <v>33000</v>
      </c>
      <c r="AF326" s="68"/>
      <c r="AG326" s="68">
        <f t="shared" si="353"/>
        <v>33000</v>
      </c>
      <c r="AH326" s="68"/>
      <c r="AI326" s="68">
        <f t="shared" si="354"/>
        <v>33000</v>
      </c>
      <c r="AJ326" s="68"/>
      <c r="AK326" s="68">
        <f t="shared" si="355"/>
        <v>33000</v>
      </c>
      <c r="AL326" s="68"/>
      <c r="AM326" s="68">
        <f t="shared" si="356"/>
        <v>33000</v>
      </c>
      <c r="AN326" s="113"/>
      <c r="AO326" s="113"/>
      <c r="AP326" s="113"/>
    </row>
    <row r="327" spans="1:39" s="23" customFormat="1" ht="21" customHeight="1">
      <c r="A327" s="64"/>
      <c r="B327" s="69"/>
      <c r="C327" s="46">
        <v>4210</v>
      </c>
      <c r="D327" s="12" t="s">
        <v>91</v>
      </c>
      <c r="E327" s="68">
        <v>45000</v>
      </c>
      <c r="F327" s="68"/>
      <c r="G327" s="68">
        <f t="shared" si="340"/>
        <v>45000</v>
      </c>
      <c r="H327" s="68"/>
      <c r="I327" s="68">
        <f t="shared" si="341"/>
        <v>45000</v>
      </c>
      <c r="J327" s="68"/>
      <c r="K327" s="68">
        <f t="shared" si="342"/>
        <v>45000</v>
      </c>
      <c r="L327" s="68"/>
      <c r="M327" s="68">
        <f t="shared" si="343"/>
        <v>45000</v>
      </c>
      <c r="N327" s="68"/>
      <c r="O327" s="68">
        <f t="shared" si="344"/>
        <v>45000</v>
      </c>
      <c r="P327" s="68"/>
      <c r="Q327" s="68">
        <f t="shared" si="345"/>
        <v>45000</v>
      </c>
      <c r="R327" s="68"/>
      <c r="S327" s="68">
        <f t="shared" si="346"/>
        <v>45000</v>
      </c>
      <c r="T327" s="68"/>
      <c r="U327" s="68">
        <f t="shared" si="347"/>
        <v>45000</v>
      </c>
      <c r="V327" s="68"/>
      <c r="W327" s="68">
        <f t="shared" si="348"/>
        <v>45000</v>
      </c>
      <c r="X327" s="68"/>
      <c r="Y327" s="68">
        <f t="shared" si="349"/>
        <v>45000</v>
      </c>
      <c r="Z327" s="68"/>
      <c r="AA327" s="68">
        <f t="shared" si="350"/>
        <v>45000</v>
      </c>
      <c r="AB327" s="68"/>
      <c r="AC327" s="68">
        <f t="shared" si="351"/>
        <v>45000</v>
      </c>
      <c r="AD327" s="68"/>
      <c r="AE327" s="68">
        <f t="shared" si="352"/>
        <v>45000</v>
      </c>
      <c r="AF327" s="68"/>
      <c r="AG327" s="68">
        <f t="shared" si="353"/>
        <v>45000</v>
      </c>
      <c r="AH327" s="68"/>
      <c r="AI327" s="68">
        <f t="shared" si="354"/>
        <v>45000</v>
      </c>
      <c r="AJ327" s="68"/>
      <c r="AK327" s="68">
        <f t="shared" si="355"/>
        <v>45000</v>
      </c>
      <c r="AL327" s="68"/>
      <c r="AM327" s="68">
        <f t="shared" si="356"/>
        <v>45000</v>
      </c>
    </row>
    <row r="328" spans="1:39" s="23" customFormat="1" ht="21" customHeight="1">
      <c r="A328" s="64"/>
      <c r="B328" s="69"/>
      <c r="C328" s="46">
        <v>4300</v>
      </c>
      <c r="D328" s="12" t="s">
        <v>78</v>
      </c>
      <c r="E328" s="68">
        <f>30000+223449-36000-1500</f>
        <v>215949</v>
      </c>
      <c r="F328" s="68"/>
      <c r="G328" s="68">
        <f t="shared" si="340"/>
        <v>215949</v>
      </c>
      <c r="H328" s="68"/>
      <c r="I328" s="68">
        <f t="shared" si="341"/>
        <v>215949</v>
      </c>
      <c r="J328" s="68"/>
      <c r="K328" s="68">
        <f t="shared" si="342"/>
        <v>215949</v>
      </c>
      <c r="L328" s="68"/>
      <c r="M328" s="68">
        <f t="shared" si="343"/>
        <v>215949</v>
      </c>
      <c r="N328" s="68"/>
      <c r="O328" s="68">
        <f t="shared" si="344"/>
        <v>215949</v>
      </c>
      <c r="P328" s="68"/>
      <c r="Q328" s="68">
        <f t="shared" si="345"/>
        <v>215949</v>
      </c>
      <c r="R328" s="68"/>
      <c r="S328" s="68">
        <f t="shared" si="346"/>
        <v>215949</v>
      </c>
      <c r="T328" s="68"/>
      <c r="U328" s="68">
        <f t="shared" si="347"/>
        <v>215949</v>
      </c>
      <c r="V328" s="68"/>
      <c r="W328" s="68">
        <f t="shared" si="348"/>
        <v>215949</v>
      </c>
      <c r="X328" s="68"/>
      <c r="Y328" s="68">
        <f t="shared" si="349"/>
        <v>215949</v>
      </c>
      <c r="Z328" s="68"/>
      <c r="AA328" s="68">
        <f t="shared" si="350"/>
        <v>215949</v>
      </c>
      <c r="AB328" s="68"/>
      <c r="AC328" s="68">
        <f t="shared" si="351"/>
        <v>215949</v>
      </c>
      <c r="AD328" s="68"/>
      <c r="AE328" s="68">
        <f t="shared" si="352"/>
        <v>215949</v>
      </c>
      <c r="AF328" s="68"/>
      <c r="AG328" s="68">
        <f t="shared" si="353"/>
        <v>215949</v>
      </c>
      <c r="AH328" s="68"/>
      <c r="AI328" s="68">
        <f t="shared" si="354"/>
        <v>215949</v>
      </c>
      <c r="AJ328" s="68"/>
      <c r="AK328" s="68">
        <f t="shared" si="355"/>
        <v>215949</v>
      </c>
      <c r="AL328" s="68"/>
      <c r="AM328" s="68">
        <f t="shared" si="356"/>
        <v>215949</v>
      </c>
    </row>
    <row r="329" spans="1:39" s="23" customFormat="1" ht="21" customHeight="1">
      <c r="A329" s="64"/>
      <c r="B329" s="69"/>
      <c r="C329" s="46">
        <v>4430</v>
      </c>
      <c r="D329" s="37" t="s">
        <v>93</v>
      </c>
      <c r="E329" s="68">
        <f>11000</f>
        <v>11000</v>
      </c>
      <c r="F329" s="68"/>
      <c r="G329" s="68">
        <f t="shared" si="340"/>
        <v>11000</v>
      </c>
      <c r="H329" s="68"/>
      <c r="I329" s="68">
        <f t="shared" si="341"/>
        <v>11000</v>
      </c>
      <c r="J329" s="68"/>
      <c r="K329" s="68">
        <f t="shared" si="342"/>
        <v>11000</v>
      </c>
      <c r="L329" s="68"/>
      <c r="M329" s="68">
        <f t="shared" si="343"/>
        <v>11000</v>
      </c>
      <c r="N329" s="68"/>
      <c r="O329" s="68">
        <f t="shared" si="344"/>
        <v>11000</v>
      </c>
      <c r="P329" s="68"/>
      <c r="Q329" s="68">
        <f t="shared" si="345"/>
        <v>11000</v>
      </c>
      <c r="R329" s="68"/>
      <c r="S329" s="68">
        <f t="shared" si="346"/>
        <v>11000</v>
      </c>
      <c r="T329" s="68"/>
      <c r="U329" s="68">
        <f t="shared" si="347"/>
        <v>11000</v>
      </c>
      <c r="V329" s="68"/>
      <c r="W329" s="68">
        <f t="shared" si="348"/>
        <v>11000</v>
      </c>
      <c r="X329" s="68"/>
      <c r="Y329" s="68">
        <f t="shared" si="349"/>
        <v>11000</v>
      </c>
      <c r="Z329" s="68"/>
      <c r="AA329" s="68">
        <f t="shared" si="350"/>
        <v>11000</v>
      </c>
      <c r="AB329" s="68"/>
      <c r="AC329" s="68">
        <f t="shared" si="351"/>
        <v>11000</v>
      </c>
      <c r="AD329" s="68"/>
      <c r="AE329" s="68">
        <f t="shared" si="352"/>
        <v>11000</v>
      </c>
      <c r="AF329" s="68"/>
      <c r="AG329" s="68">
        <f t="shared" si="353"/>
        <v>11000</v>
      </c>
      <c r="AH329" s="68"/>
      <c r="AI329" s="68">
        <f t="shared" si="354"/>
        <v>11000</v>
      </c>
      <c r="AJ329" s="68"/>
      <c r="AK329" s="68">
        <f t="shared" si="355"/>
        <v>11000</v>
      </c>
      <c r="AL329" s="68"/>
      <c r="AM329" s="68">
        <f t="shared" si="356"/>
        <v>11000</v>
      </c>
    </row>
    <row r="330" spans="1:39" s="23" customFormat="1" ht="21" customHeight="1">
      <c r="A330" s="64"/>
      <c r="B330" s="84">
        <v>80146</v>
      </c>
      <c r="C330" s="67"/>
      <c r="D330" s="37" t="s">
        <v>145</v>
      </c>
      <c r="E330" s="78">
        <f aca="true" t="shared" si="357" ref="E330:W330">SUM(E331:E334)</f>
        <v>117315</v>
      </c>
      <c r="F330" s="78">
        <f t="shared" si="357"/>
        <v>0</v>
      </c>
      <c r="G330" s="78">
        <f t="shared" si="357"/>
        <v>117315</v>
      </c>
      <c r="H330" s="78">
        <f t="shared" si="357"/>
        <v>0</v>
      </c>
      <c r="I330" s="78">
        <f t="shared" si="357"/>
        <v>117315</v>
      </c>
      <c r="J330" s="78">
        <f t="shared" si="357"/>
        <v>0</v>
      </c>
      <c r="K330" s="78">
        <f t="shared" si="357"/>
        <v>117315</v>
      </c>
      <c r="L330" s="78">
        <f t="shared" si="357"/>
        <v>0</v>
      </c>
      <c r="M330" s="78">
        <f t="shared" si="357"/>
        <v>117315</v>
      </c>
      <c r="N330" s="78">
        <f t="shared" si="357"/>
        <v>0</v>
      </c>
      <c r="O330" s="78">
        <f t="shared" si="357"/>
        <v>117315</v>
      </c>
      <c r="P330" s="78">
        <f t="shared" si="357"/>
        <v>0</v>
      </c>
      <c r="Q330" s="78">
        <f t="shared" si="357"/>
        <v>117315</v>
      </c>
      <c r="R330" s="78">
        <f t="shared" si="357"/>
        <v>821</v>
      </c>
      <c r="S330" s="78">
        <f t="shared" si="357"/>
        <v>118136</v>
      </c>
      <c r="T330" s="78">
        <f t="shared" si="357"/>
        <v>0</v>
      </c>
      <c r="U330" s="78">
        <f t="shared" si="357"/>
        <v>118136</v>
      </c>
      <c r="V330" s="78">
        <f t="shared" si="357"/>
        <v>0</v>
      </c>
      <c r="W330" s="78">
        <f t="shared" si="357"/>
        <v>118136</v>
      </c>
      <c r="X330" s="78">
        <f aca="true" t="shared" si="358" ref="X330:AC330">SUM(X331:X334)</f>
        <v>0</v>
      </c>
      <c r="Y330" s="78">
        <f t="shared" si="358"/>
        <v>118136</v>
      </c>
      <c r="Z330" s="78">
        <f t="shared" si="358"/>
        <v>0</v>
      </c>
      <c r="AA330" s="78">
        <f t="shared" si="358"/>
        <v>118136</v>
      </c>
      <c r="AB330" s="78">
        <f t="shared" si="358"/>
        <v>0</v>
      </c>
      <c r="AC330" s="78">
        <f t="shared" si="358"/>
        <v>118136</v>
      </c>
      <c r="AD330" s="78">
        <f aca="true" t="shared" si="359" ref="AD330:AI330">SUM(AD331:AD334)</f>
        <v>0</v>
      </c>
      <c r="AE330" s="78">
        <f t="shared" si="359"/>
        <v>118136</v>
      </c>
      <c r="AF330" s="78">
        <f t="shared" si="359"/>
        <v>0</v>
      </c>
      <c r="AG330" s="78">
        <f t="shared" si="359"/>
        <v>118136</v>
      </c>
      <c r="AH330" s="78">
        <f t="shared" si="359"/>
        <v>0</v>
      </c>
      <c r="AI330" s="78">
        <f t="shared" si="359"/>
        <v>118136</v>
      </c>
      <c r="AJ330" s="78">
        <f>SUM(AJ331:AJ334)</f>
        <v>5258</v>
      </c>
      <c r="AK330" s="78">
        <f>SUM(AK331:AK334)</f>
        <v>123394</v>
      </c>
      <c r="AL330" s="78">
        <f>SUM(AL331:AL334)</f>
        <v>0</v>
      </c>
      <c r="AM330" s="78">
        <f>SUM(AM331:AM334)</f>
        <v>123394</v>
      </c>
    </row>
    <row r="331" spans="1:39" s="23" customFormat="1" ht="22.5">
      <c r="A331" s="64"/>
      <c r="B331" s="84"/>
      <c r="C331" s="67">
        <v>2510</v>
      </c>
      <c r="D331" s="37" t="s">
        <v>124</v>
      </c>
      <c r="E331" s="78">
        <v>15642</v>
      </c>
      <c r="F331" s="78"/>
      <c r="G331" s="78">
        <f>SUM(E331:F331)</f>
        <v>15642</v>
      </c>
      <c r="H331" s="78"/>
      <c r="I331" s="78">
        <f>SUM(G331:H331)</f>
        <v>15642</v>
      </c>
      <c r="J331" s="78"/>
      <c r="K331" s="78">
        <f>SUM(I331:J331)</f>
        <v>15642</v>
      </c>
      <c r="L331" s="78"/>
      <c r="M331" s="78">
        <f>SUM(K331:L331)</f>
        <v>15642</v>
      </c>
      <c r="N331" s="78"/>
      <c r="O331" s="78">
        <f>SUM(M331:N331)</f>
        <v>15642</v>
      </c>
      <c r="P331" s="78"/>
      <c r="Q331" s="78">
        <f>SUM(O331:P331)</f>
        <v>15642</v>
      </c>
      <c r="R331" s="78"/>
      <c r="S331" s="78">
        <f>SUM(Q331:R331)</f>
        <v>15642</v>
      </c>
      <c r="T331" s="78"/>
      <c r="U331" s="78">
        <f>SUM(S331:T331)</f>
        <v>15642</v>
      </c>
      <c r="V331" s="78"/>
      <c r="W331" s="78">
        <f>SUM(U331:V331)</f>
        <v>15642</v>
      </c>
      <c r="X331" s="78"/>
      <c r="Y331" s="78">
        <f>SUM(W331:X331)</f>
        <v>15642</v>
      </c>
      <c r="Z331" s="78"/>
      <c r="AA331" s="78">
        <f>SUM(Y331:Z331)</f>
        <v>15642</v>
      </c>
      <c r="AB331" s="78"/>
      <c r="AC331" s="78">
        <f>SUM(AA331:AB331)</f>
        <v>15642</v>
      </c>
      <c r="AD331" s="78"/>
      <c r="AE331" s="78">
        <f>SUM(AC331:AD331)</f>
        <v>15642</v>
      </c>
      <c r="AF331" s="78"/>
      <c r="AG331" s="78">
        <f>SUM(AE331:AF331)</f>
        <v>15642</v>
      </c>
      <c r="AH331" s="78"/>
      <c r="AI331" s="78">
        <f>SUM(AG331:AH331)</f>
        <v>15642</v>
      </c>
      <c r="AJ331" s="78">
        <v>1500</v>
      </c>
      <c r="AK331" s="78">
        <f>SUM(AI331:AJ331)</f>
        <v>17142</v>
      </c>
      <c r="AL331" s="78"/>
      <c r="AM331" s="78">
        <f>SUM(AK331:AL331)</f>
        <v>17142</v>
      </c>
    </row>
    <row r="332" spans="1:39" s="23" customFormat="1" ht="21" customHeight="1">
      <c r="A332" s="64"/>
      <c r="B332" s="84"/>
      <c r="C332" s="67">
        <v>4300</v>
      </c>
      <c r="D332" s="37" t="s">
        <v>78</v>
      </c>
      <c r="E332" s="78">
        <v>68259</v>
      </c>
      <c r="F332" s="78"/>
      <c r="G332" s="78">
        <f>SUM(E332:F332)</f>
        <v>68259</v>
      </c>
      <c r="H332" s="78"/>
      <c r="I332" s="78">
        <f>SUM(G332:H332)</f>
        <v>68259</v>
      </c>
      <c r="J332" s="78"/>
      <c r="K332" s="78">
        <f>SUM(I332:J332)</f>
        <v>68259</v>
      </c>
      <c r="L332" s="78">
        <v>-47303</v>
      </c>
      <c r="M332" s="78">
        <f>SUM(K332:L332)</f>
        <v>20956</v>
      </c>
      <c r="N332" s="78"/>
      <c r="O332" s="78">
        <f>SUM(M332:N332)</f>
        <v>20956</v>
      </c>
      <c r="P332" s="78"/>
      <c r="Q332" s="78">
        <f>SUM(O332:P332)</f>
        <v>20956</v>
      </c>
      <c r="R332" s="78">
        <v>-500</v>
      </c>
      <c r="S332" s="78">
        <f>SUM(Q332:R332)</f>
        <v>20456</v>
      </c>
      <c r="T332" s="78"/>
      <c r="U332" s="78">
        <f>SUM(S332:T332)</f>
        <v>20456</v>
      </c>
      <c r="V332" s="78"/>
      <c r="W332" s="78">
        <f>SUM(U332:V332)</f>
        <v>20456</v>
      </c>
      <c r="X332" s="78"/>
      <c r="Y332" s="78">
        <f>SUM(W332:X332)</f>
        <v>20456</v>
      </c>
      <c r="Z332" s="78"/>
      <c r="AA332" s="78">
        <f>SUM(Y332:Z332)</f>
        <v>20456</v>
      </c>
      <c r="AB332" s="78"/>
      <c r="AC332" s="78">
        <f>SUM(AA332:AB332)</f>
        <v>20456</v>
      </c>
      <c r="AD332" s="78"/>
      <c r="AE332" s="78">
        <f>SUM(AC332:AD332)</f>
        <v>20456</v>
      </c>
      <c r="AF332" s="78"/>
      <c r="AG332" s="78">
        <f>SUM(AE332:AF332)</f>
        <v>20456</v>
      </c>
      <c r="AH332" s="78"/>
      <c r="AI332" s="78">
        <f>SUM(AG332:AH332)</f>
        <v>20456</v>
      </c>
      <c r="AJ332" s="78">
        <v>-660</v>
      </c>
      <c r="AK332" s="78">
        <f>SUM(AI332:AJ332)</f>
        <v>19796</v>
      </c>
      <c r="AL332" s="78">
        <v>2360</v>
      </c>
      <c r="AM332" s="78">
        <f>SUM(AK332:AL332)</f>
        <v>22156</v>
      </c>
    </row>
    <row r="333" spans="1:39" s="23" customFormat="1" ht="21" customHeight="1">
      <c r="A333" s="64"/>
      <c r="B333" s="84"/>
      <c r="C333" s="67">
        <v>4410</v>
      </c>
      <c r="D333" s="37" t="s">
        <v>89</v>
      </c>
      <c r="E333" s="78"/>
      <c r="F333" s="78"/>
      <c r="G333" s="78"/>
      <c r="H333" s="78"/>
      <c r="I333" s="78"/>
      <c r="J333" s="78"/>
      <c r="K333" s="78">
        <v>0</v>
      </c>
      <c r="L333" s="78">
        <v>28494</v>
      </c>
      <c r="M333" s="78">
        <f>SUM(K333:L333)</f>
        <v>28494</v>
      </c>
      <c r="N333" s="78"/>
      <c r="O333" s="78">
        <f>SUM(M333:N333)</f>
        <v>28494</v>
      </c>
      <c r="P333" s="78"/>
      <c r="Q333" s="78">
        <f>SUM(O333:P333)</f>
        <v>28494</v>
      </c>
      <c r="R333" s="78">
        <v>5321</v>
      </c>
      <c r="S333" s="78">
        <f>SUM(Q333:R333)</f>
        <v>33815</v>
      </c>
      <c r="T333" s="78"/>
      <c r="U333" s="78">
        <f>SUM(S333:T333)</f>
        <v>33815</v>
      </c>
      <c r="V333" s="78"/>
      <c r="W333" s="78">
        <f>SUM(U333:V333)</f>
        <v>33815</v>
      </c>
      <c r="X333" s="78"/>
      <c r="Y333" s="78">
        <f>SUM(W333:X333)</f>
        <v>33815</v>
      </c>
      <c r="Z333" s="78"/>
      <c r="AA333" s="78">
        <f>SUM(Y333:Z333)</f>
        <v>33815</v>
      </c>
      <c r="AB333" s="78"/>
      <c r="AC333" s="78">
        <f>SUM(AA333:AB333)</f>
        <v>33815</v>
      </c>
      <c r="AD333" s="78"/>
      <c r="AE333" s="78">
        <f>SUM(AC333:AD333)</f>
        <v>33815</v>
      </c>
      <c r="AF333" s="78"/>
      <c r="AG333" s="78">
        <f>SUM(AE333:AF333)</f>
        <v>33815</v>
      </c>
      <c r="AH333" s="78"/>
      <c r="AI333" s="78">
        <f>SUM(AG333:AH333)</f>
        <v>33815</v>
      </c>
      <c r="AJ333" s="78">
        <v>-101</v>
      </c>
      <c r="AK333" s="78">
        <f>SUM(AI333:AJ333)</f>
        <v>33714</v>
      </c>
      <c r="AL333" s="78">
        <v>-4542</v>
      </c>
      <c r="AM333" s="78">
        <f>SUM(AK333:AL333)</f>
        <v>29172</v>
      </c>
    </row>
    <row r="334" spans="1:39" s="23" customFormat="1" ht="22.5">
      <c r="A334" s="64"/>
      <c r="B334" s="84"/>
      <c r="C334" s="67">
        <v>4700</v>
      </c>
      <c r="D334" s="37" t="s">
        <v>234</v>
      </c>
      <c r="E334" s="78">
        <v>33414</v>
      </c>
      <c r="F334" s="78"/>
      <c r="G334" s="78">
        <f>SUM(E334:F334)</f>
        <v>33414</v>
      </c>
      <c r="H334" s="78"/>
      <c r="I334" s="78">
        <f>SUM(G334:H334)</f>
        <v>33414</v>
      </c>
      <c r="J334" s="78"/>
      <c r="K334" s="78">
        <f>SUM(I334:J334)</f>
        <v>33414</v>
      </c>
      <c r="L334" s="78">
        <v>18809</v>
      </c>
      <c r="M334" s="78">
        <f>SUM(K334:L334)</f>
        <v>52223</v>
      </c>
      <c r="N334" s="78"/>
      <c r="O334" s="78">
        <f>SUM(M334:N334)</f>
        <v>52223</v>
      </c>
      <c r="P334" s="78"/>
      <c r="Q334" s="78">
        <f>SUM(O334:P334)</f>
        <v>52223</v>
      </c>
      <c r="R334" s="78">
        <v>-4000</v>
      </c>
      <c r="S334" s="78">
        <f>SUM(Q334:R334)</f>
        <v>48223</v>
      </c>
      <c r="T334" s="78"/>
      <c r="U334" s="78">
        <f>SUM(S334:T334)</f>
        <v>48223</v>
      </c>
      <c r="V334" s="78"/>
      <c r="W334" s="78">
        <f>SUM(U334:V334)</f>
        <v>48223</v>
      </c>
      <c r="X334" s="78"/>
      <c r="Y334" s="78">
        <f>SUM(W334:X334)</f>
        <v>48223</v>
      </c>
      <c r="Z334" s="78"/>
      <c r="AA334" s="78">
        <f>SUM(Y334:Z334)</f>
        <v>48223</v>
      </c>
      <c r="AB334" s="78"/>
      <c r="AC334" s="78">
        <f>SUM(AA334:AB334)</f>
        <v>48223</v>
      </c>
      <c r="AD334" s="78"/>
      <c r="AE334" s="78">
        <f>SUM(AC334:AD334)</f>
        <v>48223</v>
      </c>
      <c r="AF334" s="78"/>
      <c r="AG334" s="78">
        <f>SUM(AE334:AF334)</f>
        <v>48223</v>
      </c>
      <c r="AH334" s="78"/>
      <c r="AI334" s="78">
        <f>SUM(AG334:AH334)</f>
        <v>48223</v>
      </c>
      <c r="AJ334" s="78">
        <v>4519</v>
      </c>
      <c r="AK334" s="78">
        <f>SUM(AI334:AJ334)</f>
        <v>52742</v>
      </c>
      <c r="AL334" s="78">
        <v>2182</v>
      </c>
      <c r="AM334" s="78">
        <f>SUM(AK334:AL334)</f>
        <v>54924</v>
      </c>
    </row>
    <row r="335" spans="1:39" s="23" customFormat="1" ht="21" customHeight="1">
      <c r="A335" s="64"/>
      <c r="B335" s="84">
        <v>80148</v>
      </c>
      <c r="C335" s="67"/>
      <c r="D335" s="37" t="s">
        <v>359</v>
      </c>
      <c r="E335" s="78">
        <f aca="true" t="shared" si="360" ref="E335:W335">SUM(E336:E349)</f>
        <v>293509</v>
      </c>
      <c r="F335" s="78">
        <f t="shared" si="360"/>
        <v>0</v>
      </c>
      <c r="G335" s="78">
        <f t="shared" si="360"/>
        <v>293509</v>
      </c>
      <c r="H335" s="78">
        <f t="shared" si="360"/>
        <v>0</v>
      </c>
      <c r="I335" s="78">
        <f t="shared" si="360"/>
        <v>293509</v>
      </c>
      <c r="J335" s="78">
        <f t="shared" si="360"/>
        <v>0</v>
      </c>
      <c r="K335" s="78">
        <f t="shared" si="360"/>
        <v>293509</v>
      </c>
      <c r="L335" s="78">
        <f t="shared" si="360"/>
        <v>0</v>
      </c>
      <c r="M335" s="78">
        <f t="shared" si="360"/>
        <v>293509</v>
      </c>
      <c r="N335" s="78">
        <f t="shared" si="360"/>
        <v>0</v>
      </c>
      <c r="O335" s="78">
        <f t="shared" si="360"/>
        <v>293509</v>
      </c>
      <c r="P335" s="78">
        <f t="shared" si="360"/>
        <v>0</v>
      </c>
      <c r="Q335" s="78">
        <f t="shared" si="360"/>
        <v>293509</v>
      </c>
      <c r="R335" s="78">
        <f t="shared" si="360"/>
        <v>0</v>
      </c>
      <c r="S335" s="78">
        <f t="shared" si="360"/>
        <v>293509</v>
      </c>
      <c r="T335" s="78">
        <f t="shared" si="360"/>
        <v>0</v>
      </c>
      <c r="U335" s="78">
        <f t="shared" si="360"/>
        <v>293509</v>
      </c>
      <c r="V335" s="78">
        <f t="shared" si="360"/>
        <v>0</v>
      </c>
      <c r="W335" s="78">
        <f t="shared" si="360"/>
        <v>293509</v>
      </c>
      <c r="X335" s="78">
        <f aca="true" t="shared" si="361" ref="X335:AC335">SUM(X336:X349)</f>
        <v>0</v>
      </c>
      <c r="Y335" s="78">
        <f t="shared" si="361"/>
        <v>293509</v>
      </c>
      <c r="Z335" s="78">
        <f t="shared" si="361"/>
        <v>0</v>
      </c>
      <c r="AA335" s="78">
        <f t="shared" si="361"/>
        <v>293509</v>
      </c>
      <c r="AB335" s="78">
        <f t="shared" si="361"/>
        <v>0</v>
      </c>
      <c r="AC335" s="78">
        <f t="shared" si="361"/>
        <v>293509</v>
      </c>
      <c r="AD335" s="78">
        <f aca="true" t="shared" si="362" ref="AD335:AI335">SUM(AD336:AD349)</f>
        <v>1124</v>
      </c>
      <c r="AE335" s="78">
        <f t="shared" si="362"/>
        <v>294633</v>
      </c>
      <c r="AF335" s="78">
        <f t="shared" si="362"/>
        <v>0</v>
      </c>
      <c r="AG335" s="78">
        <f t="shared" si="362"/>
        <v>294633</v>
      </c>
      <c r="AH335" s="78">
        <f t="shared" si="362"/>
        <v>0</v>
      </c>
      <c r="AI335" s="78">
        <f t="shared" si="362"/>
        <v>294633</v>
      </c>
      <c r="AJ335" s="78">
        <f>SUM(AJ336:AJ349)</f>
        <v>-6692</v>
      </c>
      <c r="AK335" s="78">
        <f>SUM(AK336:AK349)</f>
        <v>287941</v>
      </c>
      <c r="AL335" s="78">
        <f>SUM(AL336:AL349)</f>
        <v>0</v>
      </c>
      <c r="AM335" s="78">
        <f>SUM(AM336:AM349)</f>
        <v>287941</v>
      </c>
    </row>
    <row r="336" spans="1:39" s="23" customFormat="1" ht="22.5">
      <c r="A336" s="64"/>
      <c r="B336" s="84"/>
      <c r="C336" s="83">
        <v>3020</v>
      </c>
      <c r="D336" s="37" t="s">
        <v>187</v>
      </c>
      <c r="E336" s="78">
        <v>1045</v>
      </c>
      <c r="F336" s="78"/>
      <c r="G336" s="78">
        <f>SUM(E336:F336)</f>
        <v>1045</v>
      </c>
      <c r="H336" s="78"/>
      <c r="I336" s="78">
        <f>SUM(G336:H336)</f>
        <v>1045</v>
      </c>
      <c r="J336" s="78"/>
      <c r="K336" s="78">
        <f>SUM(I336:J336)</f>
        <v>1045</v>
      </c>
      <c r="L336" s="78"/>
      <c r="M336" s="78">
        <f>SUM(K336:L336)</f>
        <v>1045</v>
      </c>
      <c r="N336" s="78"/>
      <c r="O336" s="78">
        <f>SUM(M336:N336)</f>
        <v>1045</v>
      </c>
      <c r="P336" s="78"/>
      <c r="Q336" s="78">
        <f>SUM(O336:P336)</f>
        <v>1045</v>
      </c>
      <c r="R336" s="78"/>
      <c r="S336" s="78">
        <f>SUM(Q336:R336)</f>
        <v>1045</v>
      </c>
      <c r="T336" s="78"/>
      <c r="U336" s="78">
        <f>SUM(S336:T336)</f>
        <v>1045</v>
      </c>
      <c r="V336" s="78"/>
      <c r="W336" s="78">
        <f>SUM(U336:V336)</f>
        <v>1045</v>
      </c>
      <c r="X336" s="78"/>
      <c r="Y336" s="78">
        <f>SUM(W336:X336)</f>
        <v>1045</v>
      </c>
      <c r="Z336" s="78"/>
      <c r="AA336" s="78">
        <f>SUM(Y336:Z336)</f>
        <v>1045</v>
      </c>
      <c r="AB336" s="78"/>
      <c r="AC336" s="78">
        <f>SUM(AA336:AB336)</f>
        <v>1045</v>
      </c>
      <c r="AD336" s="78"/>
      <c r="AE336" s="78">
        <f>SUM(AC336:AD336)</f>
        <v>1045</v>
      </c>
      <c r="AF336" s="78"/>
      <c r="AG336" s="78">
        <f>SUM(AE336:AF336)</f>
        <v>1045</v>
      </c>
      <c r="AH336" s="78"/>
      <c r="AI336" s="78">
        <f>SUM(AG336:AH336)</f>
        <v>1045</v>
      </c>
      <c r="AJ336" s="78"/>
      <c r="AK336" s="78">
        <f>SUM(AI336:AJ336)</f>
        <v>1045</v>
      </c>
      <c r="AL336" s="78"/>
      <c r="AM336" s="78">
        <f>SUM(AK336:AL336)</f>
        <v>1045</v>
      </c>
    </row>
    <row r="337" spans="1:42" s="23" customFormat="1" ht="21" customHeight="1">
      <c r="A337" s="64"/>
      <c r="B337" s="84"/>
      <c r="C337" s="83">
        <v>4010</v>
      </c>
      <c r="D337" s="37" t="s">
        <v>83</v>
      </c>
      <c r="E337" s="78">
        <v>115014</v>
      </c>
      <c r="F337" s="78"/>
      <c r="G337" s="78">
        <f aca="true" t="shared" si="363" ref="G337:G349">SUM(E337:F337)</f>
        <v>115014</v>
      </c>
      <c r="H337" s="78"/>
      <c r="I337" s="78">
        <f aca="true" t="shared" si="364" ref="I337:I349">SUM(G337:H337)</f>
        <v>115014</v>
      </c>
      <c r="J337" s="78"/>
      <c r="K337" s="78">
        <f aca="true" t="shared" si="365" ref="K337:K349">SUM(I337:J337)</f>
        <v>115014</v>
      </c>
      <c r="L337" s="78">
        <v>443</v>
      </c>
      <c r="M337" s="78">
        <f aca="true" t="shared" si="366" ref="M337:M349">SUM(K337:L337)</f>
        <v>115457</v>
      </c>
      <c r="N337" s="78"/>
      <c r="O337" s="78">
        <f aca="true" t="shared" si="367" ref="O337:O349">SUM(M337:N337)</f>
        <v>115457</v>
      </c>
      <c r="P337" s="78"/>
      <c r="Q337" s="78">
        <f aca="true" t="shared" si="368" ref="Q337:Q349">SUM(O337:P337)</f>
        <v>115457</v>
      </c>
      <c r="R337" s="78"/>
      <c r="S337" s="78">
        <f aca="true" t="shared" si="369" ref="S337:S349">SUM(Q337:R337)</f>
        <v>115457</v>
      </c>
      <c r="T337" s="78"/>
      <c r="U337" s="78">
        <f aca="true" t="shared" si="370" ref="U337:U349">SUM(S337:T337)</f>
        <v>115457</v>
      </c>
      <c r="V337" s="78"/>
      <c r="W337" s="78">
        <f aca="true" t="shared" si="371" ref="W337:W349">SUM(U337:V337)</f>
        <v>115457</v>
      </c>
      <c r="X337" s="78"/>
      <c r="Y337" s="78">
        <f aca="true" t="shared" si="372" ref="Y337:Y349">SUM(W337:X337)</f>
        <v>115457</v>
      </c>
      <c r="Z337" s="78"/>
      <c r="AA337" s="78">
        <f aca="true" t="shared" si="373" ref="AA337:AA349">SUM(Y337:Z337)</f>
        <v>115457</v>
      </c>
      <c r="AB337" s="78"/>
      <c r="AC337" s="78">
        <f aca="true" t="shared" si="374" ref="AC337:AC349">SUM(AA337:AB337)</f>
        <v>115457</v>
      </c>
      <c r="AD337" s="78"/>
      <c r="AE337" s="78">
        <f aca="true" t="shared" si="375" ref="AE337:AE349">SUM(AC337:AD337)</f>
        <v>115457</v>
      </c>
      <c r="AF337" s="78"/>
      <c r="AG337" s="78">
        <f aca="true" t="shared" si="376" ref="AG337:AG349">SUM(AE337:AF337)</f>
        <v>115457</v>
      </c>
      <c r="AH337" s="78"/>
      <c r="AI337" s="78">
        <f aca="true" t="shared" si="377" ref="AI337:AI349">SUM(AG337:AH337)</f>
        <v>115457</v>
      </c>
      <c r="AJ337" s="78">
        <f>100-1355</f>
        <v>-1255</v>
      </c>
      <c r="AK337" s="78">
        <f aca="true" t="shared" si="378" ref="AK337:AK349">SUM(AI337:AJ337)</f>
        <v>114202</v>
      </c>
      <c r="AL337" s="78"/>
      <c r="AM337" s="78">
        <f aca="true" t="shared" si="379" ref="AM337:AM349">SUM(AK337:AL337)</f>
        <v>114202</v>
      </c>
      <c r="AN337" s="113"/>
      <c r="AO337" s="113"/>
      <c r="AP337" s="113"/>
    </row>
    <row r="338" spans="1:42" s="23" customFormat="1" ht="21" customHeight="1">
      <c r="A338" s="64"/>
      <c r="B338" s="84"/>
      <c r="C338" s="83">
        <v>4040</v>
      </c>
      <c r="D338" s="37" t="s">
        <v>84</v>
      </c>
      <c r="E338" s="78">
        <v>8743</v>
      </c>
      <c r="F338" s="78"/>
      <c r="G338" s="78">
        <f t="shared" si="363"/>
        <v>8743</v>
      </c>
      <c r="H338" s="78"/>
      <c r="I338" s="78">
        <f t="shared" si="364"/>
        <v>8743</v>
      </c>
      <c r="J338" s="78"/>
      <c r="K338" s="78">
        <f t="shared" si="365"/>
        <v>8743</v>
      </c>
      <c r="L338" s="78">
        <v>-443</v>
      </c>
      <c r="M338" s="78">
        <f t="shared" si="366"/>
        <v>8300</v>
      </c>
      <c r="N338" s="78"/>
      <c r="O338" s="78">
        <f t="shared" si="367"/>
        <v>8300</v>
      </c>
      <c r="P338" s="78"/>
      <c r="Q338" s="78">
        <f t="shared" si="368"/>
        <v>8300</v>
      </c>
      <c r="R338" s="78"/>
      <c r="S338" s="78">
        <f t="shared" si="369"/>
        <v>8300</v>
      </c>
      <c r="T338" s="78"/>
      <c r="U338" s="78">
        <f t="shared" si="370"/>
        <v>8300</v>
      </c>
      <c r="V338" s="78"/>
      <c r="W338" s="78">
        <f t="shared" si="371"/>
        <v>8300</v>
      </c>
      <c r="X338" s="78"/>
      <c r="Y338" s="78">
        <f t="shared" si="372"/>
        <v>8300</v>
      </c>
      <c r="Z338" s="78"/>
      <c r="AA338" s="78">
        <f t="shared" si="373"/>
        <v>8300</v>
      </c>
      <c r="AB338" s="78"/>
      <c r="AC338" s="78">
        <f t="shared" si="374"/>
        <v>8300</v>
      </c>
      <c r="AD338" s="78"/>
      <c r="AE338" s="78">
        <f t="shared" si="375"/>
        <v>8300</v>
      </c>
      <c r="AF338" s="78"/>
      <c r="AG338" s="78">
        <f t="shared" si="376"/>
        <v>8300</v>
      </c>
      <c r="AH338" s="78"/>
      <c r="AI338" s="78">
        <f t="shared" si="377"/>
        <v>8300</v>
      </c>
      <c r="AJ338" s="78"/>
      <c r="AK338" s="78">
        <f t="shared" si="378"/>
        <v>8300</v>
      </c>
      <c r="AL338" s="78"/>
      <c r="AM338" s="78">
        <f t="shared" si="379"/>
        <v>8300</v>
      </c>
      <c r="AN338" s="113"/>
      <c r="AO338" s="113"/>
      <c r="AP338" s="113"/>
    </row>
    <row r="339" spans="1:42" s="23" customFormat="1" ht="21" customHeight="1">
      <c r="A339" s="64"/>
      <c r="B339" s="84"/>
      <c r="C339" s="83">
        <v>4110</v>
      </c>
      <c r="D339" s="37" t="s">
        <v>85</v>
      </c>
      <c r="E339" s="78">
        <v>18184</v>
      </c>
      <c r="F339" s="78"/>
      <c r="G339" s="78">
        <f t="shared" si="363"/>
        <v>18184</v>
      </c>
      <c r="H339" s="78"/>
      <c r="I339" s="78">
        <f t="shared" si="364"/>
        <v>18184</v>
      </c>
      <c r="J339" s="78"/>
      <c r="K339" s="78">
        <f t="shared" si="365"/>
        <v>18184</v>
      </c>
      <c r="L339" s="78"/>
      <c r="M339" s="78">
        <f t="shared" si="366"/>
        <v>18184</v>
      </c>
      <c r="N339" s="78"/>
      <c r="O339" s="78">
        <f t="shared" si="367"/>
        <v>18184</v>
      </c>
      <c r="P339" s="78"/>
      <c r="Q339" s="78">
        <f t="shared" si="368"/>
        <v>18184</v>
      </c>
      <c r="R339" s="78"/>
      <c r="S339" s="78">
        <f t="shared" si="369"/>
        <v>18184</v>
      </c>
      <c r="T339" s="78"/>
      <c r="U339" s="78">
        <f t="shared" si="370"/>
        <v>18184</v>
      </c>
      <c r="V339" s="78"/>
      <c r="W339" s="78">
        <f t="shared" si="371"/>
        <v>18184</v>
      </c>
      <c r="X339" s="78"/>
      <c r="Y339" s="78">
        <f t="shared" si="372"/>
        <v>18184</v>
      </c>
      <c r="Z339" s="78"/>
      <c r="AA339" s="78">
        <f t="shared" si="373"/>
        <v>18184</v>
      </c>
      <c r="AB339" s="78"/>
      <c r="AC339" s="78">
        <f t="shared" si="374"/>
        <v>18184</v>
      </c>
      <c r="AD339" s="78"/>
      <c r="AE339" s="78">
        <f t="shared" si="375"/>
        <v>18184</v>
      </c>
      <c r="AF339" s="78"/>
      <c r="AG339" s="78">
        <f t="shared" si="376"/>
        <v>18184</v>
      </c>
      <c r="AH339" s="78"/>
      <c r="AI339" s="78">
        <f t="shared" si="377"/>
        <v>18184</v>
      </c>
      <c r="AJ339" s="78">
        <v>-1320</v>
      </c>
      <c r="AK339" s="78">
        <f t="shared" si="378"/>
        <v>16864</v>
      </c>
      <c r="AL339" s="78"/>
      <c r="AM339" s="78">
        <f t="shared" si="379"/>
        <v>16864</v>
      </c>
      <c r="AN339" s="113"/>
      <c r="AO339" s="113"/>
      <c r="AP339" s="113"/>
    </row>
    <row r="340" spans="1:42" s="23" customFormat="1" ht="21" customHeight="1">
      <c r="A340" s="64"/>
      <c r="B340" s="84"/>
      <c r="C340" s="83">
        <v>4120</v>
      </c>
      <c r="D340" s="37" t="s">
        <v>86</v>
      </c>
      <c r="E340" s="78">
        <v>2852</v>
      </c>
      <c r="F340" s="78"/>
      <c r="G340" s="78">
        <f t="shared" si="363"/>
        <v>2852</v>
      </c>
      <c r="H340" s="78"/>
      <c r="I340" s="78">
        <f t="shared" si="364"/>
        <v>2852</v>
      </c>
      <c r="J340" s="78"/>
      <c r="K340" s="78">
        <f t="shared" si="365"/>
        <v>2852</v>
      </c>
      <c r="L340" s="78"/>
      <c r="M340" s="78">
        <f t="shared" si="366"/>
        <v>2852</v>
      </c>
      <c r="N340" s="78"/>
      <c r="O340" s="78">
        <f t="shared" si="367"/>
        <v>2852</v>
      </c>
      <c r="P340" s="78"/>
      <c r="Q340" s="78">
        <f t="shared" si="368"/>
        <v>2852</v>
      </c>
      <c r="R340" s="78"/>
      <c r="S340" s="78">
        <f t="shared" si="369"/>
        <v>2852</v>
      </c>
      <c r="T340" s="78"/>
      <c r="U340" s="78">
        <f t="shared" si="370"/>
        <v>2852</v>
      </c>
      <c r="V340" s="78"/>
      <c r="W340" s="78">
        <f t="shared" si="371"/>
        <v>2852</v>
      </c>
      <c r="X340" s="78"/>
      <c r="Y340" s="78">
        <f t="shared" si="372"/>
        <v>2852</v>
      </c>
      <c r="Z340" s="78"/>
      <c r="AA340" s="78">
        <f t="shared" si="373"/>
        <v>2852</v>
      </c>
      <c r="AB340" s="78"/>
      <c r="AC340" s="78">
        <f t="shared" si="374"/>
        <v>2852</v>
      </c>
      <c r="AD340" s="78"/>
      <c r="AE340" s="78">
        <f t="shared" si="375"/>
        <v>2852</v>
      </c>
      <c r="AF340" s="78"/>
      <c r="AG340" s="78">
        <f t="shared" si="376"/>
        <v>2852</v>
      </c>
      <c r="AH340" s="78"/>
      <c r="AI340" s="78">
        <f t="shared" si="377"/>
        <v>2852</v>
      </c>
      <c r="AJ340" s="78">
        <v>-1218</v>
      </c>
      <c r="AK340" s="78">
        <f t="shared" si="378"/>
        <v>1634</v>
      </c>
      <c r="AL340" s="78"/>
      <c r="AM340" s="78">
        <f t="shared" si="379"/>
        <v>1634</v>
      </c>
      <c r="AN340" s="113"/>
      <c r="AO340" s="113"/>
      <c r="AP340" s="113"/>
    </row>
    <row r="341" spans="1:42" s="23" customFormat="1" ht="21" customHeight="1">
      <c r="A341" s="64"/>
      <c r="B341" s="84"/>
      <c r="C341" s="83">
        <v>4170</v>
      </c>
      <c r="D341" s="37" t="s">
        <v>189</v>
      </c>
      <c r="E341" s="78">
        <v>4000</v>
      </c>
      <c r="F341" s="78"/>
      <c r="G341" s="78">
        <f t="shared" si="363"/>
        <v>4000</v>
      </c>
      <c r="H341" s="78"/>
      <c r="I341" s="78">
        <f t="shared" si="364"/>
        <v>4000</v>
      </c>
      <c r="J341" s="78"/>
      <c r="K341" s="78">
        <f t="shared" si="365"/>
        <v>4000</v>
      </c>
      <c r="L341" s="78"/>
      <c r="M341" s="78">
        <f t="shared" si="366"/>
        <v>4000</v>
      </c>
      <c r="N341" s="78"/>
      <c r="O341" s="78">
        <f t="shared" si="367"/>
        <v>4000</v>
      </c>
      <c r="P341" s="78"/>
      <c r="Q341" s="78">
        <f t="shared" si="368"/>
        <v>4000</v>
      </c>
      <c r="R341" s="78"/>
      <c r="S341" s="78">
        <f t="shared" si="369"/>
        <v>4000</v>
      </c>
      <c r="T341" s="78"/>
      <c r="U341" s="78">
        <f t="shared" si="370"/>
        <v>4000</v>
      </c>
      <c r="V341" s="78"/>
      <c r="W341" s="78">
        <f t="shared" si="371"/>
        <v>4000</v>
      </c>
      <c r="X341" s="78"/>
      <c r="Y341" s="78">
        <f t="shared" si="372"/>
        <v>4000</v>
      </c>
      <c r="Z341" s="78"/>
      <c r="AA341" s="78">
        <f t="shared" si="373"/>
        <v>4000</v>
      </c>
      <c r="AB341" s="78"/>
      <c r="AC341" s="78">
        <f t="shared" si="374"/>
        <v>4000</v>
      </c>
      <c r="AD341" s="78"/>
      <c r="AE341" s="78">
        <f t="shared" si="375"/>
        <v>4000</v>
      </c>
      <c r="AF341" s="78"/>
      <c r="AG341" s="78">
        <f t="shared" si="376"/>
        <v>4000</v>
      </c>
      <c r="AH341" s="78"/>
      <c r="AI341" s="78">
        <f t="shared" si="377"/>
        <v>4000</v>
      </c>
      <c r="AJ341" s="78"/>
      <c r="AK341" s="78">
        <f t="shared" si="378"/>
        <v>4000</v>
      </c>
      <c r="AL341" s="78"/>
      <c r="AM341" s="78">
        <f t="shared" si="379"/>
        <v>4000</v>
      </c>
      <c r="AN341" s="113"/>
      <c r="AO341" s="113"/>
      <c r="AP341" s="113"/>
    </row>
    <row r="342" spans="1:39" s="23" customFormat="1" ht="21" customHeight="1">
      <c r="A342" s="64"/>
      <c r="B342" s="84"/>
      <c r="C342" s="83">
        <v>4210</v>
      </c>
      <c r="D342" s="37" t="s">
        <v>71</v>
      </c>
      <c r="E342" s="78">
        <v>8960</v>
      </c>
      <c r="F342" s="78"/>
      <c r="G342" s="78">
        <f t="shared" si="363"/>
        <v>8960</v>
      </c>
      <c r="H342" s="78"/>
      <c r="I342" s="78">
        <f t="shared" si="364"/>
        <v>8960</v>
      </c>
      <c r="J342" s="78"/>
      <c r="K342" s="78">
        <f t="shared" si="365"/>
        <v>8960</v>
      </c>
      <c r="L342" s="78"/>
      <c r="M342" s="78">
        <f t="shared" si="366"/>
        <v>8960</v>
      </c>
      <c r="N342" s="78"/>
      <c r="O342" s="78">
        <f t="shared" si="367"/>
        <v>8960</v>
      </c>
      <c r="P342" s="78"/>
      <c r="Q342" s="78">
        <f t="shared" si="368"/>
        <v>8960</v>
      </c>
      <c r="R342" s="78"/>
      <c r="S342" s="78">
        <f t="shared" si="369"/>
        <v>8960</v>
      </c>
      <c r="T342" s="78"/>
      <c r="U342" s="78">
        <f t="shared" si="370"/>
        <v>8960</v>
      </c>
      <c r="V342" s="78"/>
      <c r="W342" s="78">
        <f t="shared" si="371"/>
        <v>8960</v>
      </c>
      <c r="X342" s="78"/>
      <c r="Y342" s="78">
        <f t="shared" si="372"/>
        <v>8960</v>
      </c>
      <c r="Z342" s="78"/>
      <c r="AA342" s="78">
        <f t="shared" si="373"/>
        <v>8960</v>
      </c>
      <c r="AB342" s="78"/>
      <c r="AC342" s="78">
        <f t="shared" si="374"/>
        <v>8960</v>
      </c>
      <c r="AD342" s="78"/>
      <c r="AE342" s="78">
        <f t="shared" si="375"/>
        <v>8960</v>
      </c>
      <c r="AF342" s="78"/>
      <c r="AG342" s="78">
        <f t="shared" si="376"/>
        <v>8960</v>
      </c>
      <c r="AH342" s="78"/>
      <c r="AI342" s="78">
        <f t="shared" si="377"/>
        <v>8960</v>
      </c>
      <c r="AJ342" s="78">
        <f>1324-80</f>
        <v>1244</v>
      </c>
      <c r="AK342" s="78">
        <f t="shared" si="378"/>
        <v>10204</v>
      </c>
      <c r="AL342" s="78"/>
      <c r="AM342" s="78">
        <f t="shared" si="379"/>
        <v>10204</v>
      </c>
    </row>
    <row r="343" spans="1:39" s="23" customFormat="1" ht="21" customHeight="1">
      <c r="A343" s="64"/>
      <c r="B343" s="84"/>
      <c r="C343" s="83">
        <v>4220</v>
      </c>
      <c r="D343" s="12" t="s">
        <v>178</v>
      </c>
      <c r="E343" s="78">
        <v>122700</v>
      </c>
      <c r="F343" s="78"/>
      <c r="G343" s="78">
        <f t="shared" si="363"/>
        <v>122700</v>
      </c>
      <c r="H343" s="78"/>
      <c r="I343" s="78">
        <f t="shared" si="364"/>
        <v>122700</v>
      </c>
      <c r="J343" s="78"/>
      <c r="K343" s="78">
        <f t="shared" si="365"/>
        <v>122700</v>
      </c>
      <c r="L343" s="78"/>
      <c r="M343" s="78">
        <f t="shared" si="366"/>
        <v>122700</v>
      </c>
      <c r="N343" s="78"/>
      <c r="O343" s="78">
        <f t="shared" si="367"/>
        <v>122700</v>
      </c>
      <c r="P343" s="78"/>
      <c r="Q343" s="78">
        <f t="shared" si="368"/>
        <v>122700</v>
      </c>
      <c r="R343" s="78"/>
      <c r="S343" s="78">
        <f t="shared" si="369"/>
        <v>122700</v>
      </c>
      <c r="T343" s="78"/>
      <c r="U343" s="78">
        <f t="shared" si="370"/>
        <v>122700</v>
      </c>
      <c r="V343" s="78"/>
      <c r="W343" s="78">
        <f t="shared" si="371"/>
        <v>122700</v>
      </c>
      <c r="X343" s="78"/>
      <c r="Y343" s="78">
        <f t="shared" si="372"/>
        <v>122700</v>
      </c>
      <c r="Z343" s="78"/>
      <c r="AA343" s="78">
        <f t="shared" si="373"/>
        <v>122700</v>
      </c>
      <c r="AB343" s="78"/>
      <c r="AC343" s="78">
        <f t="shared" si="374"/>
        <v>122700</v>
      </c>
      <c r="AD343" s="78"/>
      <c r="AE343" s="78">
        <f t="shared" si="375"/>
        <v>122700</v>
      </c>
      <c r="AF343" s="78"/>
      <c r="AG343" s="78">
        <f t="shared" si="376"/>
        <v>122700</v>
      </c>
      <c r="AH343" s="78"/>
      <c r="AI343" s="78">
        <f t="shared" si="377"/>
        <v>122700</v>
      </c>
      <c r="AJ343" s="78">
        <v>-3000</v>
      </c>
      <c r="AK343" s="78">
        <f t="shared" si="378"/>
        <v>119700</v>
      </c>
      <c r="AL343" s="78"/>
      <c r="AM343" s="78">
        <f t="shared" si="379"/>
        <v>119700</v>
      </c>
    </row>
    <row r="344" spans="1:39" s="23" customFormat="1" ht="22.5">
      <c r="A344" s="64"/>
      <c r="B344" s="84"/>
      <c r="C344" s="83">
        <v>4230</v>
      </c>
      <c r="D344" s="37" t="s">
        <v>232</v>
      </c>
      <c r="E344" s="78">
        <v>100</v>
      </c>
      <c r="F344" s="78"/>
      <c r="G344" s="78">
        <f t="shared" si="363"/>
        <v>100</v>
      </c>
      <c r="H344" s="78"/>
      <c r="I344" s="78">
        <f t="shared" si="364"/>
        <v>100</v>
      </c>
      <c r="J344" s="78"/>
      <c r="K344" s="78">
        <f t="shared" si="365"/>
        <v>100</v>
      </c>
      <c r="L344" s="78"/>
      <c r="M344" s="78">
        <f t="shared" si="366"/>
        <v>100</v>
      </c>
      <c r="N344" s="78"/>
      <c r="O344" s="78">
        <f t="shared" si="367"/>
        <v>100</v>
      </c>
      <c r="P344" s="78"/>
      <c r="Q344" s="78">
        <f t="shared" si="368"/>
        <v>100</v>
      </c>
      <c r="R344" s="78"/>
      <c r="S344" s="78">
        <f t="shared" si="369"/>
        <v>100</v>
      </c>
      <c r="T344" s="78"/>
      <c r="U344" s="78">
        <f t="shared" si="370"/>
        <v>100</v>
      </c>
      <c r="V344" s="78"/>
      <c r="W344" s="78">
        <f t="shared" si="371"/>
        <v>100</v>
      </c>
      <c r="X344" s="78"/>
      <c r="Y344" s="78">
        <f t="shared" si="372"/>
        <v>100</v>
      </c>
      <c r="Z344" s="78"/>
      <c r="AA344" s="78">
        <f t="shared" si="373"/>
        <v>100</v>
      </c>
      <c r="AB344" s="78"/>
      <c r="AC344" s="78">
        <f t="shared" si="374"/>
        <v>100</v>
      </c>
      <c r="AD344" s="78"/>
      <c r="AE344" s="78">
        <f t="shared" si="375"/>
        <v>100</v>
      </c>
      <c r="AF344" s="78"/>
      <c r="AG344" s="78">
        <f t="shared" si="376"/>
        <v>100</v>
      </c>
      <c r="AH344" s="78"/>
      <c r="AI344" s="78">
        <f t="shared" si="377"/>
        <v>100</v>
      </c>
      <c r="AJ344" s="78"/>
      <c r="AK344" s="78">
        <f t="shared" si="378"/>
        <v>100</v>
      </c>
      <c r="AL344" s="78"/>
      <c r="AM344" s="78">
        <f t="shared" si="379"/>
        <v>100</v>
      </c>
    </row>
    <row r="345" spans="1:39" s="23" customFormat="1" ht="21" customHeight="1">
      <c r="A345" s="64"/>
      <c r="B345" s="84"/>
      <c r="C345" s="83">
        <v>4270</v>
      </c>
      <c r="D345" s="12" t="s">
        <v>77</v>
      </c>
      <c r="E345" s="78">
        <v>1300</v>
      </c>
      <c r="F345" s="78"/>
      <c r="G345" s="78">
        <f t="shared" si="363"/>
        <v>1300</v>
      </c>
      <c r="H345" s="78"/>
      <c r="I345" s="78">
        <f t="shared" si="364"/>
        <v>1300</v>
      </c>
      <c r="J345" s="78"/>
      <c r="K345" s="78">
        <f t="shared" si="365"/>
        <v>1300</v>
      </c>
      <c r="L345" s="78"/>
      <c r="M345" s="78">
        <f t="shared" si="366"/>
        <v>1300</v>
      </c>
      <c r="N345" s="78"/>
      <c r="O345" s="78">
        <f t="shared" si="367"/>
        <v>1300</v>
      </c>
      <c r="P345" s="78"/>
      <c r="Q345" s="78">
        <f t="shared" si="368"/>
        <v>1300</v>
      </c>
      <c r="R345" s="78"/>
      <c r="S345" s="78">
        <f t="shared" si="369"/>
        <v>1300</v>
      </c>
      <c r="T345" s="78"/>
      <c r="U345" s="78">
        <f t="shared" si="370"/>
        <v>1300</v>
      </c>
      <c r="V345" s="78"/>
      <c r="W345" s="78">
        <f t="shared" si="371"/>
        <v>1300</v>
      </c>
      <c r="X345" s="78"/>
      <c r="Y345" s="78">
        <f t="shared" si="372"/>
        <v>1300</v>
      </c>
      <c r="Z345" s="78"/>
      <c r="AA345" s="78">
        <f t="shared" si="373"/>
        <v>1300</v>
      </c>
      <c r="AB345" s="78"/>
      <c r="AC345" s="78">
        <f t="shared" si="374"/>
        <v>1300</v>
      </c>
      <c r="AD345" s="78"/>
      <c r="AE345" s="78">
        <f t="shared" si="375"/>
        <v>1300</v>
      </c>
      <c r="AF345" s="78"/>
      <c r="AG345" s="78">
        <f t="shared" si="376"/>
        <v>1300</v>
      </c>
      <c r="AH345" s="78"/>
      <c r="AI345" s="78">
        <f t="shared" si="377"/>
        <v>1300</v>
      </c>
      <c r="AJ345" s="78">
        <v>-300</v>
      </c>
      <c r="AK345" s="78">
        <f t="shared" si="378"/>
        <v>1000</v>
      </c>
      <c r="AL345" s="78"/>
      <c r="AM345" s="78">
        <f t="shared" si="379"/>
        <v>1000</v>
      </c>
    </row>
    <row r="346" spans="1:39" s="23" customFormat="1" ht="21" customHeight="1">
      <c r="A346" s="64"/>
      <c r="B346" s="84"/>
      <c r="C346" s="83">
        <v>4280</v>
      </c>
      <c r="D346" s="37" t="s">
        <v>196</v>
      </c>
      <c r="E346" s="78">
        <v>560</v>
      </c>
      <c r="F346" s="78"/>
      <c r="G346" s="78">
        <f t="shared" si="363"/>
        <v>560</v>
      </c>
      <c r="H346" s="78"/>
      <c r="I346" s="78">
        <f t="shared" si="364"/>
        <v>560</v>
      </c>
      <c r="J346" s="78"/>
      <c r="K346" s="78">
        <f t="shared" si="365"/>
        <v>560</v>
      </c>
      <c r="L346" s="78"/>
      <c r="M346" s="78">
        <f t="shared" si="366"/>
        <v>560</v>
      </c>
      <c r="N346" s="78"/>
      <c r="O346" s="78">
        <f t="shared" si="367"/>
        <v>560</v>
      </c>
      <c r="P346" s="78"/>
      <c r="Q346" s="78">
        <f t="shared" si="368"/>
        <v>560</v>
      </c>
      <c r="R346" s="78"/>
      <c r="S346" s="78">
        <f t="shared" si="369"/>
        <v>560</v>
      </c>
      <c r="T346" s="78"/>
      <c r="U346" s="78">
        <f t="shared" si="370"/>
        <v>560</v>
      </c>
      <c r="V346" s="78"/>
      <c r="W346" s="78">
        <f t="shared" si="371"/>
        <v>560</v>
      </c>
      <c r="X346" s="78"/>
      <c r="Y346" s="78">
        <f t="shared" si="372"/>
        <v>560</v>
      </c>
      <c r="Z346" s="78"/>
      <c r="AA346" s="78">
        <f t="shared" si="373"/>
        <v>560</v>
      </c>
      <c r="AB346" s="78"/>
      <c r="AC346" s="78">
        <f t="shared" si="374"/>
        <v>560</v>
      </c>
      <c r="AD346" s="78"/>
      <c r="AE346" s="78">
        <f t="shared" si="375"/>
        <v>560</v>
      </c>
      <c r="AF346" s="78"/>
      <c r="AG346" s="78">
        <f t="shared" si="376"/>
        <v>560</v>
      </c>
      <c r="AH346" s="78"/>
      <c r="AI346" s="78">
        <f t="shared" si="377"/>
        <v>560</v>
      </c>
      <c r="AJ346" s="78">
        <v>-243</v>
      </c>
      <c r="AK346" s="78">
        <f t="shared" si="378"/>
        <v>317</v>
      </c>
      <c r="AL346" s="78"/>
      <c r="AM346" s="78">
        <f t="shared" si="379"/>
        <v>317</v>
      </c>
    </row>
    <row r="347" spans="1:39" s="23" customFormat="1" ht="21" customHeight="1">
      <c r="A347" s="64"/>
      <c r="B347" s="84"/>
      <c r="C347" s="83">
        <v>4300</v>
      </c>
      <c r="D347" s="37" t="s">
        <v>78</v>
      </c>
      <c r="E347" s="78">
        <v>600</v>
      </c>
      <c r="F347" s="78"/>
      <c r="G347" s="78">
        <f t="shared" si="363"/>
        <v>600</v>
      </c>
      <c r="H347" s="78"/>
      <c r="I347" s="78">
        <f t="shared" si="364"/>
        <v>600</v>
      </c>
      <c r="J347" s="78"/>
      <c r="K347" s="78">
        <f t="shared" si="365"/>
        <v>600</v>
      </c>
      <c r="L347" s="78"/>
      <c r="M347" s="78">
        <f t="shared" si="366"/>
        <v>600</v>
      </c>
      <c r="N347" s="78"/>
      <c r="O347" s="78">
        <f t="shared" si="367"/>
        <v>600</v>
      </c>
      <c r="P347" s="78"/>
      <c r="Q347" s="78">
        <f t="shared" si="368"/>
        <v>600</v>
      </c>
      <c r="R347" s="78"/>
      <c r="S347" s="78">
        <f t="shared" si="369"/>
        <v>600</v>
      </c>
      <c r="T347" s="78"/>
      <c r="U347" s="78">
        <f t="shared" si="370"/>
        <v>600</v>
      </c>
      <c r="V347" s="78"/>
      <c r="W347" s="78">
        <f t="shared" si="371"/>
        <v>600</v>
      </c>
      <c r="X347" s="78"/>
      <c r="Y347" s="78">
        <f t="shared" si="372"/>
        <v>600</v>
      </c>
      <c r="Z347" s="78"/>
      <c r="AA347" s="78">
        <f t="shared" si="373"/>
        <v>600</v>
      </c>
      <c r="AB347" s="78"/>
      <c r="AC347" s="78">
        <f t="shared" si="374"/>
        <v>600</v>
      </c>
      <c r="AD347" s="78"/>
      <c r="AE347" s="78">
        <f t="shared" si="375"/>
        <v>600</v>
      </c>
      <c r="AF347" s="78"/>
      <c r="AG347" s="78">
        <f t="shared" si="376"/>
        <v>600</v>
      </c>
      <c r="AH347" s="78"/>
      <c r="AI347" s="78">
        <f t="shared" si="377"/>
        <v>600</v>
      </c>
      <c r="AJ347" s="78">
        <v>-600</v>
      </c>
      <c r="AK347" s="78">
        <f t="shared" si="378"/>
        <v>0</v>
      </c>
      <c r="AL347" s="78"/>
      <c r="AM347" s="78">
        <f t="shared" si="379"/>
        <v>0</v>
      </c>
    </row>
    <row r="348" spans="1:39" s="23" customFormat="1" ht="22.5">
      <c r="A348" s="64"/>
      <c r="B348" s="84"/>
      <c r="C348" s="83">
        <v>4440</v>
      </c>
      <c r="D348" s="37" t="s">
        <v>87</v>
      </c>
      <c r="E348" s="78">
        <v>5451</v>
      </c>
      <c r="F348" s="78"/>
      <c r="G348" s="78">
        <f t="shared" si="363"/>
        <v>5451</v>
      </c>
      <c r="H348" s="78"/>
      <c r="I348" s="78">
        <f t="shared" si="364"/>
        <v>5451</v>
      </c>
      <c r="J348" s="78"/>
      <c r="K348" s="78">
        <f t="shared" si="365"/>
        <v>5451</v>
      </c>
      <c r="L348" s="78"/>
      <c r="M348" s="78">
        <f t="shared" si="366"/>
        <v>5451</v>
      </c>
      <c r="N348" s="78"/>
      <c r="O348" s="78">
        <f t="shared" si="367"/>
        <v>5451</v>
      </c>
      <c r="P348" s="78"/>
      <c r="Q348" s="78">
        <f t="shared" si="368"/>
        <v>5451</v>
      </c>
      <c r="R348" s="78"/>
      <c r="S348" s="78">
        <f t="shared" si="369"/>
        <v>5451</v>
      </c>
      <c r="T348" s="78"/>
      <c r="U348" s="78">
        <f t="shared" si="370"/>
        <v>5451</v>
      </c>
      <c r="V348" s="78"/>
      <c r="W348" s="78">
        <f t="shared" si="371"/>
        <v>5451</v>
      </c>
      <c r="X348" s="78"/>
      <c r="Y348" s="78">
        <f t="shared" si="372"/>
        <v>5451</v>
      </c>
      <c r="Z348" s="78"/>
      <c r="AA348" s="78">
        <f t="shared" si="373"/>
        <v>5451</v>
      </c>
      <c r="AB348" s="78"/>
      <c r="AC348" s="78">
        <f t="shared" si="374"/>
        <v>5451</v>
      </c>
      <c r="AD348" s="78"/>
      <c r="AE348" s="78">
        <f t="shared" si="375"/>
        <v>5451</v>
      </c>
      <c r="AF348" s="78"/>
      <c r="AG348" s="78">
        <f t="shared" si="376"/>
        <v>5451</v>
      </c>
      <c r="AH348" s="78"/>
      <c r="AI348" s="78">
        <f t="shared" si="377"/>
        <v>5451</v>
      </c>
      <c r="AJ348" s="78"/>
      <c r="AK348" s="78">
        <f t="shared" si="378"/>
        <v>5451</v>
      </c>
      <c r="AL348" s="78"/>
      <c r="AM348" s="78">
        <f t="shared" si="379"/>
        <v>5451</v>
      </c>
    </row>
    <row r="349" spans="1:39" s="23" customFormat="1" ht="22.5">
      <c r="A349" s="64"/>
      <c r="B349" s="84"/>
      <c r="C349" s="83">
        <v>6060</v>
      </c>
      <c r="D349" s="37" t="s">
        <v>95</v>
      </c>
      <c r="E349" s="78">
        <v>4000</v>
      </c>
      <c r="F349" s="78"/>
      <c r="G349" s="78">
        <f t="shared" si="363"/>
        <v>4000</v>
      </c>
      <c r="H349" s="78"/>
      <c r="I349" s="78">
        <f t="shared" si="364"/>
        <v>4000</v>
      </c>
      <c r="J349" s="78"/>
      <c r="K349" s="78">
        <f t="shared" si="365"/>
        <v>4000</v>
      </c>
      <c r="L349" s="78"/>
      <c r="M349" s="78">
        <f t="shared" si="366"/>
        <v>4000</v>
      </c>
      <c r="N349" s="78"/>
      <c r="O349" s="78">
        <f t="shared" si="367"/>
        <v>4000</v>
      </c>
      <c r="P349" s="78"/>
      <c r="Q349" s="78">
        <f t="shared" si="368"/>
        <v>4000</v>
      </c>
      <c r="R349" s="78"/>
      <c r="S349" s="78">
        <f t="shared" si="369"/>
        <v>4000</v>
      </c>
      <c r="T349" s="78"/>
      <c r="U349" s="78">
        <f t="shared" si="370"/>
        <v>4000</v>
      </c>
      <c r="V349" s="78"/>
      <c r="W349" s="78">
        <f t="shared" si="371"/>
        <v>4000</v>
      </c>
      <c r="X349" s="78"/>
      <c r="Y349" s="78">
        <f t="shared" si="372"/>
        <v>4000</v>
      </c>
      <c r="Z349" s="78"/>
      <c r="AA349" s="78">
        <f t="shared" si="373"/>
        <v>4000</v>
      </c>
      <c r="AB349" s="78"/>
      <c r="AC349" s="78">
        <f t="shared" si="374"/>
        <v>4000</v>
      </c>
      <c r="AD349" s="78">
        <v>1124</v>
      </c>
      <c r="AE349" s="78">
        <f t="shared" si="375"/>
        <v>5124</v>
      </c>
      <c r="AF349" s="78"/>
      <c r="AG349" s="78">
        <f t="shared" si="376"/>
        <v>5124</v>
      </c>
      <c r="AH349" s="78"/>
      <c r="AI349" s="78">
        <f t="shared" si="377"/>
        <v>5124</v>
      </c>
      <c r="AJ349" s="78"/>
      <c r="AK349" s="78">
        <f t="shared" si="378"/>
        <v>5124</v>
      </c>
      <c r="AL349" s="78"/>
      <c r="AM349" s="78">
        <f t="shared" si="379"/>
        <v>5124</v>
      </c>
    </row>
    <row r="350" spans="1:39" s="23" customFormat="1" ht="21" customHeight="1">
      <c r="A350" s="64"/>
      <c r="B350" s="79">
        <v>80195</v>
      </c>
      <c r="C350" s="64"/>
      <c r="D350" s="37" t="s">
        <v>6</v>
      </c>
      <c r="E350" s="78">
        <f aca="true" t="shared" si="380" ref="E350:W350">SUM(E351:E354)</f>
        <v>185941</v>
      </c>
      <c r="F350" s="78">
        <f t="shared" si="380"/>
        <v>0</v>
      </c>
      <c r="G350" s="78">
        <f t="shared" si="380"/>
        <v>185941</v>
      </c>
      <c r="H350" s="78">
        <f t="shared" si="380"/>
        <v>0</v>
      </c>
      <c r="I350" s="78">
        <f t="shared" si="380"/>
        <v>185941</v>
      </c>
      <c r="J350" s="78">
        <f t="shared" si="380"/>
        <v>0</v>
      </c>
      <c r="K350" s="78">
        <f t="shared" si="380"/>
        <v>185941</v>
      </c>
      <c r="L350" s="78">
        <f t="shared" si="380"/>
        <v>0</v>
      </c>
      <c r="M350" s="78">
        <f t="shared" si="380"/>
        <v>185941</v>
      </c>
      <c r="N350" s="78">
        <f t="shared" si="380"/>
        <v>0</v>
      </c>
      <c r="O350" s="78">
        <f t="shared" si="380"/>
        <v>185941</v>
      </c>
      <c r="P350" s="78">
        <f t="shared" si="380"/>
        <v>0</v>
      </c>
      <c r="Q350" s="78">
        <f t="shared" si="380"/>
        <v>185941</v>
      </c>
      <c r="R350" s="78">
        <f t="shared" si="380"/>
        <v>0</v>
      </c>
      <c r="S350" s="78">
        <f t="shared" si="380"/>
        <v>185941</v>
      </c>
      <c r="T350" s="78">
        <f t="shared" si="380"/>
        <v>0</v>
      </c>
      <c r="U350" s="78">
        <f t="shared" si="380"/>
        <v>185941</v>
      </c>
      <c r="V350" s="78">
        <f t="shared" si="380"/>
        <v>0</v>
      </c>
      <c r="W350" s="78">
        <f t="shared" si="380"/>
        <v>185941</v>
      </c>
      <c r="X350" s="78">
        <f aca="true" t="shared" si="381" ref="X350:AC350">SUM(X351:X354)</f>
        <v>0</v>
      </c>
      <c r="Y350" s="78">
        <f t="shared" si="381"/>
        <v>185941</v>
      </c>
      <c r="Z350" s="78">
        <f t="shared" si="381"/>
        <v>0</v>
      </c>
      <c r="AA350" s="78">
        <f t="shared" si="381"/>
        <v>185941</v>
      </c>
      <c r="AB350" s="78">
        <f t="shared" si="381"/>
        <v>0</v>
      </c>
      <c r="AC350" s="78">
        <f t="shared" si="381"/>
        <v>185941</v>
      </c>
      <c r="AD350" s="78">
        <f aca="true" t="shared" si="382" ref="AD350:AI350">SUM(AD351:AD354)</f>
        <v>0</v>
      </c>
      <c r="AE350" s="78">
        <f t="shared" si="382"/>
        <v>185941</v>
      </c>
      <c r="AF350" s="78">
        <f t="shared" si="382"/>
        <v>0</v>
      </c>
      <c r="AG350" s="78">
        <f t="shared" si="382"/>
        <v>185941</v>
      </c>
      <c r="AH350" s="78">
        <f t="shared" si="382"/>
        <v>0</v>
      </c>
      <c r="AI350" s="78">
        <f t="shared" si="382"/>
        <v>185941</v>
      </c>
      <c r="AJ350" s="78">
        <f>SUM(AJ351:AJ354)</f>
        <v>936</v>
      </c>
      <c r="AK350" s="78">
        <f>SUM(AK351:AK354)</f>
        <v>186877</v>
      </c>
      <c r="AL350" s="78">
        <f>SUM(AL351:AL354)</f>
        <v>0</v>
      </c>
      <c r="AM350" s="78">
        <f>SUM(AM351:AM354)</f>
        <v>186877</v>
      </c>
    </row>
    <row r="351" spans="1:42" s="23" customFormat="1" ht="21" customHeight="1">
      <c r="A351" s="64"/>
      <c r="B351" s="79"/>
      <c r="C351" s="64">
        <v>4170</v>
      </c>
      <c r="D351" s="37" t="s">
        <v>189</v>
      </c>
      <c r="E351" s="78">
        <v>1060</v>
      </c>
      <c r="F351" s="78"/>
      <c r="G351" s="78">
        <f>SUM(E351:F351)</f>
        <v>1060</v>
      </c>
      <c r="H351" s="78"/>
      <c r="I351" s="78">
        <f>SUM(G351:H351)</f>
        <v>1060</v>
      </c>
      <c r="J351" s="78"/>
      <c r="K351" s="78">
        <f>SUM(I351:J351)</f>
        <v>1060</v>
      </c>
      <c r="L351" s="78"/>
      <c r="M351" s="78">
        <f>SUM(K351:L351)</f>
        <v>1060</v>
      </c>
      <c r="N351" s="78"/>
      <c r="O351" s="78">
        <f>SUM(M351:N351)</f>
        <v>1060</v>
      </c>
      <c r="P351" s="78"/>
      <c r="Q351" s="78">
        <f>SUM(O351:P351)</f>
        <v>1060</v>
      </c>
      <c r="R351" s="78"/>
      <c r="S351" s="78">
        <f>SUM(Q351:R351)</f>
        <v>1060</v>
      </c>
      <c r="T351" s="78"/>
      <c r="U351" s="78">
        <f>SUM(S351:T351)</f>
        <v>1060</v>
      </c>
      <c r="V351" s="78"/>
      <c r="W351" s="78">
        <f>SUM(U351:V351)</f>
        <v>1060</v>
      </c>
      <c r="X351" s="78"/>
      <c r="Y351" s="78">
        <f>SUM(W351:X351)</f>
        <v>1060</v>
      </c>
      <c r="Z351" s="78"/>
      <c r="AA351" s="78">
        <f>SUM(Y351:Z351)</f>
        <v>1060</v>
      </c>
      <c r="AB351" s="78"/>
      <c r="AC351" s="78">
        <f>SUM(AA351:AB351)</f>
        <v>1060</v>
      </c>
      <c r="AD351" s="78"/>
      <c r="AE351" s="78">
        <f>SUM(AC351:AD351)</f>
        <v>1060</v>
      </c>
      <c r="AF351" s="78"/>
      <c r="AG351" s="78">
        <f>SUM(AE351:AF351)</f>
        <v>1060</v>
      </c>
      <c r="AH351" s="78"/>
      <c r="AI351" s="78">
        <f>SUM(AG351:AH351)</f>
        <v>1060</v>
      </c>
      <c r="AJ351" s="78">
        <v>936</v>
      </c>
      <c r="AK351" s="78">
        <f>SUM(AI351:AJ351)</f>
        <v>1996</v>
      </c>
      <c r="AL351" s="78"/>
      <c r="AM351" s="78">
        <f>SUM(AK351:AL351)</f>
        <v>1996</v>
      </c>
      <c r="AN351" s="113"/>
      <c r="AO351" s="113"/>
      <c r="AP351" s="113"/>
    </row>
    <row r="352" spans="1:39" s="23" customFormat="1" ht="21" customHeight="1">
      <c r="A352" s="64"/>
      <c r="B352" s="79"/>
      <c r="C352" s="64">
        <v>4210</v>
      </c>
      <c r="D352" s="37" t="s">
        <v>71</v>
      </c>
      <c r="E352" s="78">
        <v>1200</v>
      </c>
      <c r="F352" s="78"/>
      <c r="G352" s="78">
        <f>SUM(E352:F352)</f>
        <v>1200</v>
      </c>
      <c r="H352" s="78"/>
      <c r="I352" s="78">
        <f>SUM(G352:H352)</f>
        <v>1200</v>
      </c>
      <c r="J352" s="78"/>
      <c r="K352" s="78">
        <f>SUM(I352:J352)</f>
        <v>1200</v>
      </c>
      <c r="L352" s="78"/>
      <c r="M352" s="78">
        <f>SUM(K352:L352)</f>
        <v>1200</v>
      </c>
      <c r="N352" s="78"/>
      <c r="O352" s="78">
        <f>SUM(M352:N352)</f>
        <v>1200</v>
      </c>
      <c r="P352" s="78"/>
      <c r="Q352" s="78">
        <f>SUM(O352:P352)</f>
        <v>1200</v>
      </c>
      <c r="R352" s="78"/>
      <c r="S352" s="78">
        <f>SUM(Q352:R352)</f>
        <v>1200</v>
      </c>
      <c r="T352" s="78"/>
      <c r="U352" s="78">
        <f>SUM(S352:T352)</f>
        <v>1200</v>
      </c>
      <c r="V352" s="78"/>
      <c r="W352" s="78">
        <f>SUM(U352:V352)</f>
        <v>1200</v>
      </c>
      <c r="X352" s="78"/>
      <c r="Y352" s="78">
        <f>SUM(W352:X352)</f>
        <v>1200</v>
      </c>
      <c r="Z352" s="78"/>
      <c r="AA352" s="78">
        <f>SUM(Y352:Z352)</f>
        <v>1200</v>
      </c>
      <c r="AB352" s="78"/>
      <c r="AC352" s="78">
        <f>SUM(AA352:AB352)</f>
        <v>1200</v>
      </c>
      <c r="AD352" s="78"/>
      <c r="AE352" s="78">
        <f>SUM(AC352:AD352)</f>
        <v>1200</v>
      </c>
      <c r="AF352" s="78"/>
      <c r="AG352" s="78">
        <f>SUM(AE352:AF352)</f>
        <v>1200</v>
      </c>
      <c r="AH352" s="78"/>
      <c r="AI352" s="78">
        <f>SUM(AG352:AH352)</f>
        <v>1200</v>
      </c>
      <c r="AJ352" s="78"/>
      <c r="AK352" s="78">
        <f>SUM(AI352:AJ352)</f>
        <v>1200</v>
      </c>
      <c r="AL352" s="78"/>
      <c r="AM352" s="78">
        <f>SUM(AK352:AL352)</f>
        <v>1200</v>
      </c>
    </row>
    <row r="353" spans="1:39" s="23" customFormat="1" ht="21" customHeight="1">
      <c r="A353" s="64"/>
      <c r="B353" s="79"/>
      <c r="C353" s="64">
        <v>4430</v>
      </c>
      <c r="D353" s="37" t="s">
        <v>274</v>
      </c>
      <c r="E353" s="78">
        <v>1500</v>
      </c>
      <c r="F353" s="78"/>
      <c r="G353" s="78">
        <f>SUM(E353:F353)</f>
        <v>1500</v>
      </c>
      <c r="H353" s="78"/>
      <c r="I353" s="78">
        <f>SUM(G353:H353)</f>
        <v>1500</v>
      </c>
      <c r="J353" s="78"/>
      <c r="K353" s="78">
        <f>SUM(I353:J353)</f>
        <v>1500</v>
      </c>
      <c r="L353" s="78"/>
      <c r="M353" s="78">
        <f>SUM(K353:L353)</f>
        <v>1500</v>
      </c>
      <c r="N353" s="78"/>
      <c r="O353" s="78">
        <f>SUM(M353:N353)</f>
        <v>1500</v>
      </c>
      <c r="P353" s="78"/>
      <c r="Q353" s="78">
        <f>SUM(O353:P353)</f>
        <v>1500</v>
      </c>
      <c r="R353" s="78"/>
      <c r="S353" s="78">
        <f>SUM(Q353:R353)</f>
        <v>1500</v>
      </c>
      <c r="T353" s="78"/>
      <c r="U353" s="78">
        <f>SUM(S353:T353)</f>
        <v>1500</v>
      </c>
      <c r="V353" s="78"/>
      <c r="W353" s="78">
        <f>SUM(U353:V353)</f>
        <v>1500</v>
      </c>
      <c r="X353" s="78"/>
      <c r="Y353" s="78">
        <f>SUM(W353:X353)</f>
        <v>1500</v>
      </c>
      <c r="Z353" s="78"/>
      <c r="AA353" s="78">
        <f>SUM(Y353:Z353)</f>
        <v>1500</v>
      </c>
      <c r="AB353" s="78"/>
      <c r="AC353" s="78">
        <f>SUM(AA353:AB353)</f>
        <v>1500</v>
      </c>
      <c r="AD353" s="78"/>
      <c r="AE353" s="78">
        <f>SUM(AC353:AD353)</f>
        <v>1500</v>
      </c>
      <c r="AF353" s="78"/>
      <c r="AG353" s="78">
        <f>SUM(AE353:AF353)</f>
        <v>1500</v>
      </c>
      <c r="AH353" s="78"/>
      <c r="AI353" s="78">
        <f>SUM(AG353:AH353)</f>
        <v>1500</v>
      </c>
      <c r="AJ353" s="78"/>
      <c r="AK353" s="78">
        <f>SUM(AI353:AJ353)</f>
        <v>1500</v>
      </c>
      <c r="AL353" s="78"/>
      <c r="AM353" s="78">
        <f>SUM(AK353:AL353)</f>
        <v>1500</v>
      </c>
    </row>
    <row r="354" spans="1:39" s="23" customFormat="1" ht="22.5">
      <c r="A354" s="64"/>
      <c r="B354" s="79"/>
      <c r="C354" s="64">
        <v>4440</v>
      </c>
      <c r="D354" s="37" t="s">
        <v>87</v>
      </c>
      <c r="E354" s="78">
        <v>182181</v>
      </c>
      <c r="F354" s="78"/>
      <c r="G354" s="78">
        <f>SUM(E354:F354)</f>
        <v>182181</v>
      </c>
      <c r="H354" s="78"/>
      <c r="I354" s="78">
        <f>SUM(G354:H354)</f>
        <v>182181</v>
      </c>
      <c r="J354" s="78"/>
      <c r="K354" s="78">
        <f>SUM(I354:J354)</f>
        <v>182181</v>
      </c>
      <c r="L354" s="78"/>
      <c r="M354" s="78">
        <f>SUM(K354:L354)</f>
        <v>182181</v>
      </c>
      <c r="N354" s="78"/>
      <c r="O354" s="78">
        <f>SUM(M354:N354)</f>
        <v>182181</v>
      </c>
      <c r="P354" s="78"/>
      <c r="Q354" s="78">
        <f>SUM(O354:P354)</f>
        <v>182181</v>
      </c>
      <c r="R354" s="78"/>
      <c r="S354" s="78">
        <f>SUM(Q354:R354)</f>
        <v>182181</v>
      </c>
      <c r="T354" s="78"/>
      <c r="U354" s="78">
        <f>SUM(S354:T354)</f>
        <v>182181</v>
      </c>
      <c r="V354" s="78"/>
      <c r="W354" s="78">
        <f>SUM(U354:V354)</f>
        <v>182181</v>
      </c>
      <c r="X354" s="78"/>
      <c r="Y354" s="78">
        <f>SUM(W354:X354)</f>
        <v>182181</v>
      </c>
      <c r="Z354" s="78"/>
      <c r="AA354" s="78">
        <f>SUM(Y354:Z354)</f>
        <v>182181</v>
      </c>
      <c r="AB354" s="78"/>
      <c r="AC354" s="78">
        <f>SUM(AA354:AB354)</f>
        <v>182181</v>
      </c>
      <c r="AD354" s="78"/>
      <c r="AE354" s="78">
        <f>SUM(AC354:AD354)</f>
        <v>182181</v>
      </c>
      <c r="AF354" s="78"/>
      <c r="AG354" s="78">
        <f>SUM(AE354:AF354)</f>
        <v>182181</v>
      </c>
      <c r="AH354" s="78"/>
      <c r="AI354" s="78">
        <f>SUM(AG354:AH354)</f>
        <v>182181</v>
      </c>
      <c r="AJ354" s="78"/>
      <c r="AK354" s="78">
        <f>SUM(AI354:AJ354)</f>
        <v>182181</v>
      </c>
      <c r="AL354" s="78"/>
      <c r="AM354" s="78">
        <f>SUM(AK354:AL354)</f>
        <v>182181</v>
      </c>
    </row>
    <row r="355" spans="1:39" s="5" customFormat="1" ht="21" customHeight="1">
      <c r="A355" s="32" t="s">
        <v>117</v>
      </c>
      <c r="B355" s="33"/>
      <c r="C355" s="34"/>
      <c r="D355" s="35" t="s">
        <v>52</v>
      </c>
      <c r="E355" s="36">
        <f aca="true" t="shared" si="383" ref="E355:W355">SUM(E358,E370,E356)</f>
        <v>123603</v>
      </c>
      <c r="F355" s="36">
        <f t="shared" si="383"/>
        <v>0</v>
      </c>
      <c r="G355" s="36">
        <f t="shared" si="383"/>
        <v>123603</v>
      </c>
      <c r="H355" s="36">
        <f t="shared" si="383"/>
        <v>0</v>
      </c>
      <c r="I355" s="36">
        <f t="shared" si="383"/>
        <v>123603</v>
      </c>
      <c r="J355" s="36">
        <f t="shared" si="383"/>
        <v>47545</v>
      </c>
      <c r="K355" s="36">
        <f t="shared" si="383"/>
        <v>171148</v>
      </c>
      <c r="L355" s="36">
        <f t="shared" si="383"/>
        <v>0</v>
      </c>
      <c r="M355" s="36">
        <f t="shared" si="383"/>
        <v>171148</v>
      </c>
      <c r="N355" s="36">
        <f t="shared" si="383"/>
        <v>0</v>
      </c>
      <c r="O355" s="36">
        <f t="shared" si="383"/>
        <v>171148</v>
      </c>
      <c r="P355" s="36">
        <f t="shared" si="383"/>
        <v>0</v>
      </c>
      <c r="Q355" s="36">
        <f t="shared" si="383"/>
        <v>171148</v>
      </c>
      <c r="R355" s="36">
        <f t="shared" si="383"/>
        <v>14930</v>
      </c>
      <c r="S355" s="36">
        <f t="shared" si="383"/>
        <v>186078</v>
      </c>
      <c r="T355" s="36">
        <f t="shared" si="383"/>
        <v>0</v>
      </c>
      <c r="U355" s="36">
        <f t="shared" si="383"/>
        <v>186078</v>
      </c>
      <c r="V355" s="36">
        <f t="shared" si="383"/>
        <v>0</v>
      </c>
      <c r="W355" s="36">
        <f t="shared" si="383"/>
        <v>186078</v>
      </c>
      <c r="X355" s="36">
        <f aca="true" t="shared" si="384" ref="X355:AC355">SUM(X358,X370,X356)</f>
        <v>0</v>
      </c>
      <c r="Y355" s="36">
        <f t="shared" si="384"/>
        <v>186078</v>
      </c>
      <c r="Z355" s="36">
        <f t="shared" si="384"/>
        <v>0</v>
      </c>
      <c r="AA355" s="36">
        <f t="shared" si="384"/>
        <v>186078</v>
      </c>
      <c r="AB355" s="36">
        <f t="shared" si="384"/>
        <v>0</v>
      </c>
      <c r="AC355" s="36">
        <f t="shared" si="384"/>
        <v>186078</v>
      </c>
      <c r="AD355" s="36">
        <f aca="true" t="shared" si="385" ref="AD355:AI355">SUM(AD358,AD370,AD356)</f>
        <v>0</v>
      </c>
      <c r="AE355" s="36">
        <f t="shared" si="385"/>
        <v>186078</v>
      </c>
      <c r="AF355" s="36">
        <f t="shared" si="385"/>
        <v>0</v>
      </c>
      <c r="AG355" s="36">
        <f t="shared" si="385"/>
        <v>186078</v>
      </c>
      <c r="AH355" s="36">
        <f t="shared" si="385"/>
        <v>0</v>
      </c>
      <c r="AI355" s="36">
        <f t="shared" si="385"/>
        <v>186078</v>
      </c>
      <c r="AJ355" s="36">
        <f>SUM(AJ358,AJ370,AJ356)</f>
        <v>9164</v>
      </c>
      <c r="AK355" s="36">
        <f>SUM(AK358,AK370,AK356)</f>
        <v>195242</v>
      </c>
      <c r="AL355" s="36">
        <f>SUM(AL358,AL370,AL356)</f>
        <v>0</v>
      </c>
      <c r="AM355" s="36">
        <f>SUM(AM358,AM370,AM356)</f>
        <v>195242</v>
      </c>
    </row>
    <row r="356" spans="1:39" s="5" customFormat="1" ht="21" customHeight="1">
      <c r="A356" s="32"/>
      <c r="B356" s="84">
        <v>85153</v>
      </c>
      <c r="C356" s="83"/>
      <c r="D356" s="37" t="s">
        <v>219</v>
      </c>
      <c r="E356" s="78">
        <f aca="true" t="shared" si="386" ref="E356:AM356">SUM(E357:E357)</f>
        <v>5600</v>
      </c>
      <c r="F356" s="78">
        <f t="shared" si="386"/>
        <v>0</v>
      </c>
      <c r="G356" s="78">
        <f t="shared" si="386"/>
        <v>5600</v>
      </c>
      <c r="H356" s="78">
        <f t="shared" si="386"/>
        <v>0</v>
      </c>
      <c r="I356" s="78">
        <f t="shared" si="386"/>
        <v>5600</v>
      </c>
      <c r="J356" s="78">
        <f t="shared" si="386"/>
        <v>0</v>
      </c>
      <c r="K356" s="78">
        <f t="shared" si="386"/>
        <v>5600</v>
      </c>
      <c r="L356" s="78">
        <f t="shared" si="386"/>
        <v>0</v>
      </c>
      <c r="M356" s="78">
        <f t="shared" si="386"/>
        <v>5600</v>
      </c>
      <c r="N356" s="78">
        <f t="shared" si="386"/>
        <v>0</v>
      </c>
      <c r="O356" s="78">
        <f t="shared" si="386"/>
        <v>5600</v>
      </c>
      <c r="P356" s="78">
        <f t="shared" si="386"/>
        <v>0</v>
      </c>
      <c r="Q356" s="78">
        <f t="shared" si="386"/>
        <v>5600</v>
      </c>
      <c r="R356" s="78">
        <f t="shared" si="386"/>
        <v>0</v>
      </c>
      <c r="S356" s="78">
        <f t="shared" si="386"/>
        <v>5600</v>
      </c>
      <c r="T356" s="78">
        <f t="shared" si="386"/>
        <v>0</v>
      </c>
      <c r="U356" s="78">
        <f t="shared" si="386"/>
        <v>5600</v>
      </c>
      <c r="V356" s="78">
        <f t="shared" si="386"/>
        <v>0</v>
      </c>
      <c r="W356" s="78">
        <f t="shared" si="386"/>
        <v>5600</v>
      </c>
      <c r="X356" s="78">
        <f t="shared" si="386"/>
        <v>0</v>
      </c>
      <c r="Y356" s="78">
        <f t="shared" si="386"/>
        <v>5600</v>
      </c>
      <c r="Z356" s="78">
        <f t="shared" si="386"/>
        <v>0</v>
      </c>
      <c r="AA356" s="78">
        <f t="shared" si="386"/>
        <v>5600</v>
      </c>
      <c r="AB356" s="78">
        <f t="shared" si="386"/>
        <v>0</v>
      </c>
      <c r="AC356" s="78">
        <f t="shared" si="386"/>
        <v>5600</v>
      </c>
      <c r="AD356" s="78">
        <f t="shared" si="386"/>
        <v>0</v>
      </c>
      <c r="AE356" s="78">
        <f t="shared" si="386"/>
        <v>5600</v>
      </c>
      <c r="AF356" s="78">
        <f t="shared" si="386"/>
        <v>0</v>
      </c>
      <c r="AG356" s="78">
        <f t="shared" si="386"/>
        <v>5600</v>
      </c>
      <c r="AH356" s="78">
        <f t="shared" si="386"/>
        <v>0</v>
      </c>
      <c r="AI356" s="78">
        <f t="shared" si="386"/>
        <v>5600</v>
      </c>
      <c r="AJ356" s="78">
        <f t="shared" si="386"/>
        <v>0</v>
      </c>
      <c r="AK356" s="78">
        <f t="shared" si="386"/>
        <v>5600</v>
      </c>
      <c r="AL356" s="78">
        <f t="shared" si="386"/>
        <v>0</v>
      </c>
      <c r="AM356" s="78">
        <f t="shared" si="386"/>
        <v>5600</v>
      </c>
    </row>
    <row r="357" spans="1:39" s="5" customFormat="1" ht="21" customHeight="1">
      <c r="A357" s="32"/>
      <c r="B357" s="84"/>
      <c r="C357" s="83">
        <v>4300</v>
      </c>
      <c r="D357" s="37" t="s">
        <v>78</v>
      </c>
      <c r="E357" s="78">
        <v>5600</v>
      </c>
      <c r="F357" s="78"/>
      <c r="G357" s="78">
        <f>SUM(E357:F357)</f>
        <v>5600</v>
      </c>
      <c r="H357" s="78"/>
      <c r="I357" s="78">
        <f>SUM(G357:H357)</f>
        <v>5600</v>
      </c>
      <c r="J357" s="78"/>
      <c r="K357" s="78">
        <f>SUM(I357:J357)</f>
        <v>5600</v>
      </c>
      <c r="L357" s="78"/>
      <c r="M357" s="78">
        <f>SUM(K357:L357)</f>
        <v>5600</v>
      </c>
      <c r="N357" s="78"/>
      <c r="O357" s="78">
        <f>SUM(M357:N357)</f>
        <v>5600</v>
      </c>
      <c r="P357" s="78"/>
      <c r="Q357" s="78">
        <f>SUM(O357:P357)</f>
        <v>5600</v>
      </c>
      <c r="R357" s="78"/>
      <c r="S357" s="78">
        <f>SUM(Q357:R357)</f>
        <v>5600</v>
      </c>
      <c r="T357" s="78"/>
      <c r="U357" s="78">
        <f>SUM(S357:T357)</f>
        <v>5600</v>
      </c>
      <c r="V357" s="78"/>
      <c r="W357" s="78">
        <f>SUM(U357:V357)</f>
        <v>5600</v>
      </c>
      <c r="X357" s="78"/>
      <c r="Y357" s="78">
        <f>SUM(W357:X357)</f>
        <v>5600</v>
      </c>
      <c r="Z357" s="78"/>
      <c r="AA357" s="78">
        <f>SUM(Y357:Z357)</f>
        <v>5600</v>
      </c>
      <c r="AB357" s="78"/>
      <c r="AC357" s="78">
        <f>SUM(AA357:AB357)</f>
        <v>5600</v>
      </c>
      <c r="AD357" s="78"/>
      <c r="AE357" s="78">
        <f>SUM(AC357:AD357)</f>
        <v>5600</v>
      </c>
      <c r="AF357" s="78"/>
      <c r="AG357" s="78">
        <f>SUM(AE357:AF357)</f>
        <v>5600</v>
      </c>
      <c r="AH357" s="78"/>
      <c r="AI357" s="78">
        <f>SUM(AG357:AH357)</f>
        <v>5600</v>
      </c>
      <c r="AJ357" s="78"/>
      <c r="AK357" s="78">
        <f>SUM(AI357:AJ357)</f>
        <v>5600</v>
      </c>
      <c r="AL357" s="78"/>
      <c r="AM357" s="78">
        <f>SUM(AK357:AL357)</f>
        <v>5600</v>
      </c>
    </row>
    <row r="358" spans="1:39" s="23" customFormat="1" ht="21" customHeight="1">
      <c r="A358" s="64"/>
      <c r="B358" s="79" t="s">
        <v>118</v>
      </c>
      <c r="C358" s="83"/>
      <c r="D358" s="37" t="s">
        <v>53</v>
      </c>
      <c r="E358" s="78">
        <f>SUM(E361:E368)</f>
        <v>108003</v>
      </c>
      <c r="F358" s="78">
        <f>SUM(F361:F368)</f>
        <v>0</v>
      </c>
      <c r="G358" s="78">
        <f>SUM(G361:G368)</f>
        <v>108003</v>
      </c>
      <c r="H358" s="78">
        <f>SUM(H361:H368)</f>
        <v>0</v>
      </c>
      <c r="I358" s="78">
        <f aca="true" t="shared" si="387" ref="I358:O358">SUM(I360:I368)</f>
        <v>108003</v>
      </c>
      <c r="J358" s="78">
        <f t="shared" si="387"/>
        <v>47545</v>
      </c>
      <c r="K358" s="78">
        <f t="shared" si="387"/>
        <v>155548</v>
      </c>
      <c r="L358" s="78">
        <f t="shared" si="387"/>
        <v>0</v>
      </c>
      <c r="M358" s="78">
        <f t="shared" si="387"/>
        <v>155548</v>
      </c>
      <c r="N358" s="78">
        <f t="shared" si="387"/>
        <v>0</v>
      </c>
      <c r="O358" s="78">
        <f t="shared" si="387"/>
        <v>155548</v>
      </c>
      <c r="P358" s="78">
        <f>SUM(P360:P368)</f>
        <v>0</v>
      </c>
      <c r="Q358" s="78">
        <f aca="true" t="shared" si="388" ref="Q358:W358">SUM(Q359:Q368)</f>
        <v>155548</v>
      </c>
      <c r="R358" s="78">
        <f t="shared" si="388"/>
        <v>14930</v>
      </c>
      <c r="S358" s="78">
        <f t="shared" si="388"/>
        <v>170478</v>
      </c>
      <c r="T358" s="78">
        <f t="shared" si="388"/>
        <v>0</v>
      </c>
      <c r="U358" s="78">
        <f t="shared" si="388"/>
        <v>170478</v>
      </c>
      <c r="V358" s="78">
        <f t="shared" si="388"/>
        <v>0</v>
      </c>
      <c r="W358" s="78">
        <f t="shared" si="388"/>
        <v>170478</v>
      </c>
      <c r="X358" s="78">
        <f>SUM(X359:X368)</f>
        <v>0</v>
      </c>
      <c r="Y358" s="78">
        <f aca="true" t="shared" si="389" ref="Y358:AE358">SUM(Y359:Y369)</f>
        <v>170478</v>
      </c>
      <c r="Z358" s="78">
        <f t="shared" si="389"/>
        <v>0</v>
      </c>
      <c r="AA358" s="78">
        <f t="shared" si="389"/>
        <v>170478</v>
      </c>
      <c r="AB358" s="78">
        <f t="shared" si="389"/>
        <v>0</v>
      </c>
      <c r="AC358" s="78">
        <f t="shared" si="389"/>
        <v>170478</v>
      </c>
      <c r="AD358" s="78">
        <f t="shared" si="389"/>
        <v>0</v>
      </c>
      <c r="AE358" s="78">
        <f t="shared" si="389"/>
        <v>170478</v>
      </c>
      <c r="AF358" s="78">
        <f aca="true" t="shared" si="390" ref="AF358:AK358">SUM(AF359:AF369)</f>
        <v>0</v>
      </c>
      <c r="AG358" s="78">
        <f t="shared" si="390"/>
        <v>170478</v>
      </c>
      <c r="AH358" s="78">
        <f t="shared" si="390"/>
        <v>0</v>
      </c>
      <c r="AI358" s="78">
        <f t="shared" si="390"/>
        <v>170478</v>
      </c>
      <c r="AJ358" s="78">
        <f t="shared" si="390"/>
        <v>9164</v>
      </c>
      <c r="AK358" s="78">
        <f t="shared" si="390"/>
        <v>179642</v>
      </c>
      <c r="AL358" s="78">
        <f>SUM(AL359:AL369)</f>
        <v>0</v>
      </c>
      <c r="AM358" s="78">
        <f>SUM(AM359:AM369)</f>
        <v>179642</v>
      </c>
    </row>
    <row r="359" spans="1:39" s="23" customFormat="1" ht="45">
      <c r="A359" s="64"/>
      <c r="B359" s="79"/>
      <c r="C359" s="83">
        <v>2710</v>
      </c>
      <c r="D359" s="12" t="s">
        <v>383</v>
      </c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>
        <v>0</v>
      </c>
      <c r="R359" s="78">
        <v>20930</v>
      </c>
      <c r="S359" s="78">
        <f>SUM(Q359:R359)</f>
        <v>20930</v>
      </c>
      <c r="T359" s="78"/>
      <c r="U359" s="78">
        <f>SUM(S359:T359)</f>
        <v>20930</v>
      </c>
      <c r="V359" s="78"/>
      <c r="W359" s="78">
        <f>SUM(U359:V359)</f>
        <v>20930</v>
      </c>
      <c r="X359" s="78"/>
      <c r="Y359" s="78">
        <f>SUM(W359:X359)</f>
        <v>20930</v>
      </c>
      <c r="Z359" s="78"/>
      <c r="AA359" s="78">
        <f>SUM(Y359:Z359)</f>
        <v>20930</v>
      </c>
      <c r="AB359" s="78"/>
      <c r="AC359" s="78">
        <f>SUM(AA359:AB359)</f>
        <v>20930</v>
      </c>
      <c r="AD359" s="78"/>
      <c r="AE359" s="78">
        <f>SUM(AC359:AD359)</f>
        <v>20930</v>
      </c>
      <c r="AF359" s="78"/>
      <c r="AG359" s="78">
        <f>SUM(AE359:AF359)</f>
        <v>20930</v>
      </c>
      <c r="AH359" s="78"/>
      <c r="AI359" s="78">
        <f>SUM(AG359:AH359)</f>
        <v>20930</v>
      </c>
      <c r="AJ359" s="78"/>
      <c r="AK359" s="78">
        <f>SUM(AI359:AJ359)</f>
        <v>20930</v>
      </c>
      <c r="AL359" s="78"/>
      <c r="AM359" s="78">
        <f>SUM(AK359:AL359)</f>
        <v>20930</v>
      </c>
    </row>
    <row r="360" spans="1:39" s="23" customFormat="1" ht="56.25">
      <c r="A360" s="64"/>
      <c r="B360" s="79"/>
      <c r="C360" s="83">
        <v>2830</v>
      </c>
      <c r="D360" s="12" t="s">
        <v>282</v>
      </c>
      <c r="E360" s="78"/>
      <c r="F360" s="78"/>
      <c r="G360" s="78"/>
      <c r="H360" s="78"/>
      <c r="I360" s="78">
        <v>0</v>
      </c>
      <c r="J360" s="78">
        <v>47545</v>
      </c>
      <c r="K360" s="78">
        <f>SUM(I360:J360)</f>
        <v>47545</v>
      </c>
      <c r="L360" s="78"/>
      <c r="M360" s="78">
        <f>SUM(K360:L360)</f>
        <v>47545</v>
      </c>
      <c r="N360" s="78"/>
      <c r="O360" s="78">
        <f>SUM(M360:N360)</f>
        <v>47545</v>
      </c>
      <c r="P360" s="78"/>
      <c r="Q360" s="78">
        <f>SUM(O360:P360)</f>
        <v>47545</v>
      </c>
      <c r="R360" s="78"/>
      <c r="S360" s="78">
        <f>SUM(Q360:R360)</f>
        <v>47545</v>
      </c>
      <c r="T360" s="78"/>
      <c r="U360" s="78">
        <f>SUM(S360:T360)</f>
        <v>47545</v>
      </c>
      <c r="V360" s="78"/>
      <c r="W360" s="78">
        <f>SUM(U360:V360)</f>
        <v>47545</v>
      </c>
      <c r="X360" s="78"/>
      <c r="Y360" s="78">
        <f>SUM(W360:X360)</f>
        <v>47545</v>
      </c>
      <c r="Z360" s="78"/>
      <c r="AA360" s="78">
        <f>SUM(Y360:Z360)</f>
        <v>47545</v>
      </c>
      <c r="AB360" s="78"/>
      <c r="AC360" s="78">
        <f>SUM(AA360:AB360)</f>
        <v>47545</v>
      </c>
      <c r="AD360" s="78"/>
      <c r="AE360" s="78">
        <f>SUM(AC360:AD360)</f>
        <v>47545</v>
      </c>
      <c r="AF360" s="78"/>
      <c r="AG360" s="78">
        <f>SUM(AE360:AF360)</f>
        <v>47545</v>
      </c>
      <c r="AH360" s="78"/>
      <c r="AI360" s="78">
        <f>SUM(AG360:AH360)</f>
        <v>47545</v>
      </c>
      <c r="AJ360" s="78"/>
      <c r="AK360" s="78">
        <f>SUM(AI360:AJ360)</f>
        <v>47545</v>
      </c>
      <c r="AL360" s="78"/>
      <c r="AM360" s="78">
        <f>SUM(AK360:AL360)</f>
        <v>47545</v>
      </c>
    </row>
    <row r="361" spans="1:42" s="23" customFormat="1" ht="21" customHeight="1">
      <c r="A361" s="64"/>
      <c r="B361" s="84"/>
      <c r="C361" s="83">
        <v>4110</v>
      </c>
      <c r="D361" s="12" t="s">
        <v>85</v>
      </c>
      <c r="E361" s="78">
        <v>1858</v>
      </c>
      <c r="F361" s="78"/>
      <c r="G361" s="78">
        <f>SUM(E361:F361)</f>
        <v>1858</v>
      </c>
      <c r="H361" s="78"/>
      <c r="I361" s="78">
        <f>SUM(G361:H361)</f>
        <v>1858</v>
      </c>
      <c r="J361" s="78"/>
      <c r="K361" s="78">
        <f>SUM(I361:J361)</f>
        <v>1858</v>
      </c>
      <c r="L361" s="78"/>
      <c r="M361" s="78">
        <f>SUM(K361:L361)</f>
        <v>1858</v>
      </c>
      <c r="N361" s="78"/>
      <c r="O361" s="78">
        <f>SUM(M361:N361)</f>
        <v>1858</v>
      </c>
      <c r="P361" s="78"/>
      <c r="Q361" s="78">
        <f>SUM(O361:P361)</f>
        <v>1858</v>
      </c>
      <c r="R361" s="78"/>
      <c r="S361" s="78">
        <f>SUM(Q361:R361)</f>
        <v>1858</v>
      </c>
      <c r="T361" s="78"/>
      <c r="U361" s="78">
        <f>SUM(S361:T361)</f>
        <v>1858</v>
      </c>
      <c r="V361" s="78"/>
      <c r="W361" s="78">
        <f>SUM(U361:V361)</f>
        <v>1858</v>
      </c>
      <c r="X361" s="78"/>
      <c r="Y361" s="78">
        <f>SUM(W361:X361)</f>
        <v>1858</v>
      </c>
      <c r="Z361" s="78">
        <v>175</v>
      </c>
      <c r="AA361" s="78">
        <f>SUM(Y361:Z361)</f>
        <v>2033</v>
      </c>
      <c r="AB361" s="78"/>
      <c r="AC361" s="78">
        <f>SUM(AA361:AB361)</f>
        <v>2033</v>
      </c>
      <c r="AD361" s="78"/>
      <c r="AE361" s="78">
        <f>SUM(AC361:AD361)</f>
        <v>2033</v>
      </c>
      <c r="AF361" s="78"/>
      <c r="AG361" s="78">
        <f>SUM(AE361:AF361)</f>
        <v>2033</v>
      </c>
      <c r="AH361" s="78"/>
      <c r="AI361" s="78">
        <f>SUM(AG361:AH361)</f>
        <v>2033</v>
      </c>
      <c r="AJ361" s="78"/>
      <c r="AK361" s="78">
        <f>SUM(AI361:AJ361)</f>
        <v>2033</v>
      </c>
      <c r="AL361" s="78"/>
      <c r="AM361" s="78">
        <f>SUM(AK361:AL361)</f>
        <v>2033</v>
      </c>
      <c r="AN361" s="113"/>
      <c r="AO361" s="113"/>
      <c r="AP361" s="113"/>
    </row>
    <row r="362" spans="1:42" s="23" customFormat="1" ht="21" customHeight="1">
      <c r="A362" s="64"/>
      <c r="B362" s="84"/>
      <c r="C362" s="83">
        <v>4170</v>
      </c>
      <c r="D362" s="37" t="s">
        <v>189</v>
      </c>
      <c r="E362" s="78">
        <v>44600</v>
      </c>
      <c r="F362" s="78"/>
      <c r="G362" s="78">
        <f aca="true" t="shared" si="391" ref="G362:G368">SUM(E362:F362)</f>
        <v>44600</v>
      </c>
      <c r="H362" s="78"/>
      <c r="I362" s="78">
        <f aca="true" t="shared" si="392" ref="I362:I368">SUM(G362:H362)</f>
        <v>44600</v>
      </c>
      <c r="J362" s="78"/>
      <c r="K362" s="78">
        <f aca="true" t="shared" si="393" ref="K362:K368">SUM(I362:J362)</f>
        <v>44600</v>
      </c>
      <c r="L362" s="78"/>
      <c r="M362" s="78">
        <f aca="true" t="shared" si="394" ref="M362:M368">SUM(K362:L362)</f>
        <v>44600</v>
      </c>
      <c r="N362" s="78"/>
      <c r="O362" s="78">
        <f aca="true" t="shared" si="395" ref="O362:O368">SUM(M362:N362)</f>
        <v>44600</v>
      </c>
      <c r="P362" s="78"/>
      <c r="Q362" s="78">
        <f aca="true" t="shared" si="396" ref="Q362:Q368">SUM(O362:P362)</f>
        <v>44600</v>
      </c>
      <c r="R362" s="78"/>
      <c r="S362" s="78">
        <f aca="true" t="shared" si="397" ref="S362:S368">SUM(Q362:R362)</f>
        <v>44600</v>
      </c>
      <c r="T362" s="78"/>
      <c r="U362" s="78">
        <f aca="true" t="shared" si="398" ref="U362:U368">SUM(S362:T362)</f>
        <v>44600</v>
      </c>
      <c r="V362" s="78"/>
      <c r="W362" s="78">
        <f aca="true" t="shared" si="399" ref="W362:W368">SUM(U362:V362)</f>
        <v>44600</v>
      </c>
      <c r="X362" s="78"/>
      <c r="Y362" s="78">
        <f aca="true" t="shared" si="400" ref="Y362:Y368">SUM(W362:X362)</f>
        <v>44600</v>
      </c>
      <c r="Z362" s="78">
        <v>-6830</v>
      </c>
      <c r="AA362" s="78">
        <f aca="true" t="shared" si="401" ref="AA362:AA369">SUM(Y362:Z362)</f>
        <v>37770</v>
      </c>
      <c r="AB362" s="78"/>
      <c r="AC362" s="78">
        <f aca="true" t="shared" si="402" ref="AC362:AC369">SUM(AA362:AB362)</f>
        <v>37770</v>
      </c>
      <c r="AD362" s="78"/>
      <c r="AE362" s="78">
        <f aca="true" t="shared" si="403" ref="AE362:AE369">SUM(AC362:AD362)</f>
        <v>37770</v>
      </c>
      <c r="AF362" s="78"/>
      <c r="AG362" s="78">
        <f aca="true" t="shared" si="404" ref="AG362:AG369">SUM(AE362:AF362)</f>
        <v>37770</v>
      </c>
      <c r="AH362" s="78"/>
      <c r="AI362" s="78">
        <f aca="true" t="shared" si="405" ref="AI362:AI369">SUM(AG362:AH362)</f>
        <v>37770</v>
      </c>
      <c r="AJ362" s="78"/>
      <c r="AK362" s="78">
        <f aca="true" t="shared" si="406" ref="AK362:AK369">SUM(AI362:AJ362)</f>
        <v>37770</v>
      </c>
      <c r="AL362" s="78"/>
      <c r="AM362" s="78">
        <f aca="true" t="shared" si="407" ref="AM362:AM369">SUM(AK362:AL362)</f>
        <v>37770</v>
      </c>
      <c r="AN362" s="113"/>
      <c r="AO362" s="113"/>
      <c r="AP362" s="113"/>
    </row>
    <row r="363" spans="1:39" s="23" customFormat="1" ht="21" customHeight="1">
      <c r="A363" s="64"/>
      <c r="B363" s="84"/>
      <c r="C363" s="83">
        <v>4210</v>
      </c>
      <c r="D363" s="12" t="s">
        <v>91</v>
      </c>
      <c r="E363" s="78">
        <v>12800</v>
      </c>
      <c r="F363" s="78"/>
      <c r="G363" s="78">
        <f t="shared" si="391"/>
        <v>12800</v>
      </c>
      <c r="H363" s="78"/>
      <c r="I363" s="78">
        <f t="shared" si="392"/>
        <v>12800</v>
      </c>
      <c r="J363" s="78"/>
      <c r="K363" s="78">
        <f t="shared" si="393"/>
        <v>12800</v>
      </c>
      <c r="L363" s="78"/>
      <c r="M363" s="78">
        <f t="shared" si="394"/>
        <v>12800</v>
      </c>
      <c r="N363" s="78"/>
      <c r="O363" s="78">
        <f t="shared" si="395"/>
        <v>12800</v>
      </c>
      <c r="P363" s="78"/>
      <c r="Q363" s="78">
        <f t="shared" si="396"/>
        <v>12800</v>
      </c>
      <c r="R363" s="78"/>
      <c r="S363" s="78">
        <f t="shared" si="397"/>
        <v>12800</v>
      </c>
      <c r="T363" s="78"/>
      <c r="U363" s="78">
        <f t="shared" si="398"/>
        <v>12800</v>
      </c>
      <c r="V363" s="78"/>
      <c r="W363" s="78">
        <f t="shared" si="399"/>
        <v>12800</v>
      </c>
      <c r="X363" s="78"/>
      <c r="Y363" s="78">
        <f t="shared" si="400"/>
        <v>12800</v>
      </c>
      <c r="Z363" s="78">
        <v>4370</v>
      </c>
      <c r="AA363" s="78">
        <f t="shared" si="401"/>
        <v>17170</v>
      </c>
      <c r="AB363" s="78"/>
      <c r="AC363" s="78">
        <f t="shared" si="402"/>
        <v>17170</v>
      </c>
      <c r="AD363" s="78"/>
      <c r="AE363" s="78">
        <f t="shared" si="403"/>
        <v>17170</v>
      </c>
      <c r="AF363" s="78"/>
      <c r="AG363" s="78">
        <f t="shared" si="404"/>
        <v>17170</v>
      </c>
      <c r="AH363" s="78"/>
      <c r="AI363" s="78">
        <f t="shared" si="405"/>
        <v>17170</v>
      </c>
      <c r="AJ363" s="78">
        <v>845</v>
      </c>
      <c r="AK363" s="78">
        <f t="shared" si="406"/>
        <v>18015</v>
      </c>
      <c r="AL363" s="78"/>
      <c r="AM363" s="78">
        <f t="shared" si="407"/>
        <v>18015</v>
      </c>
    </row>
    <row r="364" spans="1:39" s="23" customFormat="1" ht="21" customHeight="1">
      <c r="A364" s="64"/>
      <c r="B364" s="84"/>
      <c r="C364" s="83">
        <v>4220</v>
      </c>
      <c r="D364" s="12" t="s">
        <v>178</v>
      </c>
      <c r="E364" s="78">
        <v>13500</v>
      </c>
      <c r="F364" s="78"/>
      <c r="G364" s="78">
        <f t="shared" si="391"/>
        <v>13500</v>
      </c>
      <c r="H364" s="78"/>
      <c r="I364" s="78">
        <f t="shared" si="392"/>
        <v>13500</v>
      </c>
      <c r="J364" s="78"/>
      <c r="K364" s="78">
        <f t="shared" si="393"/>
        <v>13500</v>
      </c>
      <c r="L364" s="78"/>
      <c r="M364" s="78">
        <f t="shared" si="394"/>
        <v>13500</v>
      </c>
      <c r="N364" s="78"/>
      <c r="O364" s="78">
        <f t="shared" si="395"/>
        <v>13500</v>
      </c>
      <c r="P364" s="78"/>
      <c r="Q364" s="78">
        <f t="shared" si="396"/>
        <v>13500</v>
      </c>
      <c r="R364" s="78"/>
      <c r="S364" s="78">
        <f t="shared" si="397"/>
        <v>13500</v>
      </c>
      <c r="T364" s="78"/>
      <c r="U364" s="78">
        <f t="shared" si="398"/>
        <v>13500</v>
      </c>
      <c r="V364" s="78"/>
      <c r="W364" s="78">
        <f t="shared" si="399"/>
        <v>13500</v>
      </c>
      <c r="X364" s="78"/>
      <c r="Y364" s="78">
        <f t="shared" si="400"/>
        <v>13500</v>
      </c>
      <c r="Z364" s="78">
        <v>2030</v>
      </c>
      <c r="AA364" s="78">
        <f t="shared" si="401"/>
        <v>15530</v>
      </c>
      <c r="AB364" s="78"/>
      <c r="AC364" s="78">
        <f t="shared" si="402"/>
        <v>15530</v>
      </c>
      <c r="AD364" s="78"/>
      <c r="AE364" s="78">
        <f t="shared" si="403"/>
        <v>15530</v>
      </c>
      <c r="AF364" s="78"/>
      <c r="AG364" s="78">
        <f t="shared" si="404"/>
        <v>15530</v>
      </c>
      <c r="AH364" s="78"/>
      <c r="AI364" s="78">
        <f t="shared" si="405"/>
        <v>15530</v>
      </c>
      <c r="AJ364" s="78">
        <v>5000</v>
      </c>
      <c r="AK364" s="78">
        <f t="shared" si="406"/>
        <v>20530</v>
      </c>
      <c r="AL364" s="78"/>
      <c r="AM364" s="78">
        <f t="shared" si="407"/>
        <v>20530</v>
      </c>
    </row>
    <row r="365" spans="1:39" s="23" customFormat="1" ht="21" customHeight="1">
      <c r="A365" s="64"/>
      <c r="B365" s="84"/>
      <c r="C365" s="83">
        <v>4300</v>
      </c>
      <c r="D365" s="37" t="s">
        <v>78</v>
      </c>
      <c r="E365" s="78">
        <v>32245</v>
      </c>
      <c r="F365" s="78"/>
      <c r="G365" s="78">
        <f t="shared" si="391"/>
        <v>32245</v>
      </c>
      <c r="H365" s="78"/>
      <c r="I365" s="78">
        <f t="shared" si="392"/>
        <v>32245</v>
      </c>
      <c r="J365" s="78"/>
      <c r="K365" s="78">
        <f t="shared" si="393"/>
        <v>32245</v>
      </c>
      <c r="L365" s="78"/>
      <c r="M365" s="78">
        <f t="shared" si="394"/>
        <v>32245</v>
      </c>
      <c r="N365" s="78"/>
      <c r="O365" s="78">
        <f t="shared" si="395"/>
        <v>32245</v>
      </c>
      <c r="P365" s="78"/>
      <c r="Q365" s="78">
        <f t="shared" si="396"/>
        <v>32245</v>
      </c>
      <c r="R365" s="78">
        <v>-6000</v>
      </c>
      <c r="S365" s="78">
        <f t="shared" si="397"/>
        <v>26245</v>
      </c>
      <c r="T365" s="78"/>
      <c r="U365" s="78">
        <f t="shared" si="398"/>
        <v>26245</v>
      </c>
      <c r="V365" s="78"/>
      <c r="W365" s="78">
        <f t="shared" si="399"/>
        <v>26245</v>
      </c>
      <c r="X365" s="78"/>
      <c r="Y365" s="78">
        <f t="shared" si="400"/>
        <v>26245</v>
      </c>
      <c r="Z365" s="78">
        <v>55</v>
      </c>
      <c r="AA365" s="78">
        <f t="shared" si="401"/>
        <v>26300</v>
      </c>
      <c r="AB365" s="78"/>
      <c r="AC365" s="78">
        <f t="shared" si="402"/>
        <v>26300</v>
      </c>
      <c r="AD365" s="78"/>
      <c r="AE365" s="78">
        <f t="shared" si="403"/>
        <v>26300</v>
      </c>
      <c r="AF365" s="78"/>
      <c r="AG365" s="78">
        <f t="shared" si="404"/>
        <v>26300</v>
      </c>
      <c r="AH365" s="78"/>
      <c r="AI365" s="78">
        <f t="shared" si="405"/>
        <v>26300</v>
      </c>
      <c r="AJ365" s="78">
        <f>2000+1000</f>
        <v>3000</v>
      </c>
      <c r="AK365" s="78">
        <f t="shared" si="406"/>
        <v>29300</v>
      </c>
      <c r="AL365" s="78"/>
      <c r="AM365" s="78">
        <f t="shared" si="407"/>
        <v>29300</v>
      </c>
    </row>
    <row r="366" spans="1:39" s="23" customFormat="1" ht="21" customHeight="1">
      <c r="A366" s="64"/>
      <c r="B366" s="84"/>
      <c r="C366" s="83">
        <v>4350</v>
      </c>
      <c r="D366" s="37" t="s">
        <v>203</v>
      </c>
      <c r="E366" s="78">
        <v>1200</v>
      </c>
      <c r="F366" s="78"/>
      <c r="G366" s="78">
        <f t="shared" si="391"/>
        <v>1200</v>
      </c>
      <c r="H366" s="78"/>
      <c r="I366" s="78">
        <f t="shared" si="392"/>
        <v>1200</v>
      </c>
      <c r="J366" s="78"/>
      <c r="K366" s="78">
        <f t="shared" si="393"/>
        <v>1200</v>
      </c>
      <c r="L366" s="78"/>
      <c r="M366" s="78">
        <f t="shared" si="394"/>
        <v>1200</v>
      </c>
      <c r="N366" s="78"/>
      <c r="O366" s="78">
        <f t="shared" si="395"/>
        <v>1200</v>
      </c>
      <c r="P366" s="78"/>
      <c r="Q366" s="78">
        <f t="shared" si="396"/>
        <v>1200</v>
      </c>
      <c r="R366" s="78"/>
      <c r="S366" s="78">
        <f t="shared" si="397"/>
        <v>1200</v>
      </c>
      <c r="T366" s="78"/>
      <c r="U366" s="78">
        <f t="shared" si="398"/>
        <v>1200</v>
      </c>
      <c r="V366" s="78"/>
      <c r="W366" s="78">
        <f t="shared" si="399"/>
        <v>1200</v>
      </c>
      <c r="X366" s="78"/>
      <c r="Y366" s="78">
        <f t="shared" si="400"/>
        <v>1200</v>
      </c>
      <c r="Z366" s="78"/>
      <c r="AA366" s="78">
        <f t="shared" si="401"/>
        <v>1200</v>
      </c>
      <c r="AB366" s="78"/>
      <c r="AC366" s="78">
        <f t="shared" si="402"/>
        <v>1200</v>
      </c>
      <c r="AD366" s="78"/>
      <c r="AE366" s="78">
        <f t="shared" si="403"/>
        <v>1200</v>
      </c>
      <c r="AF366" s="78"/>
      <c r="AG366" s="78">
        <f t="shared" si="404"/>
        <v>1200</v>
      </c>
      <c r="AH366" s="78"/>
      <c r="AI366" s="78">
        <f t="shared" si="405"/>
        <v>1200</v>
      </c>
      <c r="AJ366" s="78">
        <v>19</v>
      </c>
      <c r="AK366" s="78">
        <f t="shared" si="406"/>
        <v>1219</v>
      </c>
      <c r="AL366" s="78"/>
      <c r="AM366" s="78">
        <f t="shared" si="407"/>
        <v>1219</v>
      </c>
    </row>
    <row r="367" spans="1:39" s="23" customFormat="1" ht="21" customHeight="1">
      <c r="A367" s="64"/>
      <c r="B367" s="84"/>
      <c r="C367" s="83">
        <v>4410</v>
      </c>
      <c r="D367" s="37" t="s">
        <v>89</v>
      </c>
      <c r="E367" s="78">
        <v>1200</v>
      </c>
      <c r="F367" s="78"/>
      <c r="G367" s="78">
        <f t="shared" si="391"/>
        <v>1200</v>
      </c>
      <c r="H367" s="78"/>
      <c r="I367" s="78">
        <f t="shared" si="392"/>
        <v>1200</v>
      </c>
      <c r="J367" s="78"/>
      <c r="K367" s="78">
        <f t="shared" si="393"/>
        <v>1200</v>
      </c>
      <c r="L367" s="78"/>
      <c r="M367" s="78">
        <f t="shared" si="394"/>
        <v>1200</v>
      </c>
      <c r="N367" s="78"/>
      <c r="O367" s="78">
        <f t="shared" si="395"/>
        <v>1200</v>
      </c>
      <c r="P367" s="78"/>
      <c r="Q367" s="78">
        <f t="shared" si="396"/>
        <v>1200</v>
      </c>
      <c r="R367" s="78"/>
      <c r="S367" s="78">
        <f t="shared" si="397"/>
        <v>1200</v>
      </c>
      <c r="T367" s="78"/>
      <c r="U367" s="78">
        <f t="shared" si="398"/>
        <v>1200</v>
      </c>
      <c r="V367" s="78"/>
      <c r="W367" s="78">
        <f t="shared" si="399"/>
        <v>1200</v>
      </c>
      <c r="X367" s="78"/>
      <c r="Y367" s="78">
        <f t="shared" si="400"/>
        <v>1200</v>
      </c>
      <c r="Z367" s="78"/>
      <c r="AA367" s="78">
        <f t="shared" si="401"/>
        <v>1200</v>
      </c>
      <c r="AB367" s="78"/>
      <c r="AC367" s="78">
        <f t="shared" si="402"/>
        <v>1200</v>
      </c>
      <c r="AD367" s="78"/>
      <c r="AE367" s="78">
        <f t="shared" si="403"/>
        <v>1200</v>
      </c>
      <c r="AF367" s="78"/>
      <c r="AG367" s="78">
        <f t="shared" si="404"/>
        <v>1200</v>
      </c>
      <c r="AH367" s="78"/>
      <c r="AI367" s="78">
        <f t="shared" si="405"/>
        <v>1200</v>
      </c>
      <c r="AJ367" s="78">
        <v>300</v>
      </c>
      <c r="AK367" s="78">
        <f t="shared" si="406"/>
        <v>1500</v>
      </c>
      <c r="AL367" s="78"/>
      <c r="AM367" s="78">
        <f t="shared" si="407"/>
        <v>1500</v>
      </c>
    </row>
    <row r="368" spans="1:39" s="23" customFormat="1" ht="26.25" customHeight="1">
      <c r="A368" s="64"/>
      <c r="B368" s="84"/>
      <c r="C368" s="83">
        <v>4700</v>
      </c>
      <c r="D368" s="37" t="s">
        <v>234</v>
      </c>
      <c r="E368" s="78">
        <v>600</v>
      </c>
      <c r="F368" s="78"/>
      <c r="G368" s="78">
        <f t="shared" si="391"/>
        <v>600</v>
      </c>
      <c r="H368" s="78"/>
      <c r="I368" s="78">
        <f t="shared" si="392"/>
        <v>600</v>
      </c>
      <c r="J368" s="78"/>
      <c r="K368" s="78">
        <f t="shared" si="393"/>
        <v>600</v>
      </c>
      <c r="L368" s="78"/>
      <c r="M368" s="78">
        <f t="shared" si="394"/>
        <v>600</v>
      </c>
      <c r="N368" s="78"/>
      <c r="O368" s="78">
        <f t="shared" si="395"/>
        <v>600</v>
      </c>
      <c r="P368" s="78"/>
      <c r="Q368" s="78">
        <f t="shared" si="396"/>
        <v>600</v>
      </c>
      <c r="R368" s="78"/>
      <c r="S368" s="78">
        <f t="shared" si="397"/>
        <v>600</v>
      </c>
      <c r="T368" s="78"/>
      <c r="U368" s="78">
        <f t="shared" si="398"/>
        <v>600</v>
      </c>
      <c r="V368" s="78"/>
      <c r="W368" s="78">
        <f t="shared" si="399"/>
        <v>600</v>
      </c>
      <c r="X368" s="78"/>
      <c r="Y368" s="78">
        <f t="shared" si="400"/>
        <v>600</v>
      </c>
      <c r="Z368" s="78"/>
      <c r="AA368" s="78">
        <f t="shared" si="401"/>
        <v>600</v>
      </c>
      <c r="AB368" s="78"/>
      <c r="AC368" s="78">
        <f t="shared" si="402"/>
        <v>600</v>
      </c>
      <c r="AD368" s="78"/>
      <c r="AE368" s="78">
        <f t="shared" si="403"/>
        <v>600</v>
      </c>
      <c r="AF368" s="78"/>
      <c r="AG368" s="78">
        <f t="shared" si="404"/>
        <v>600</v>
      </c>
      <c r="AH368" s="78"/>
      <c r="AI368" s="78">
        <f t="shared" si="405"/>
        <v>600</v>
      </c>
      <c r="AJ368" s="78"/>
      <c r="AK368" s="78">
        <f t="shared" si="406"/>
        <v>600</v>
      </c>
      <c r="AL368" s="78"/>
      <c r="AM368" s="78">
        <f t="shared" si="407"/>
        <v>600</v>
      </c>
    </row>
    <row r="369" spans="1:39" s="23" customFormat="1" ht="33.75">
      <c r="A369" s="64"/>
      <c r="B369" s="84"/>
      <c r="C369" s="83">
        <v>4740</v>
      </c>
      <c r="D369" s="37" t="s">
        <v>249</v>
      </c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>
        <v>0</v>
      </c>
      <c r="Z369" s="78">
        <v>200</v>
      </c>
      <c r="AA369" s="78">
        <f t="shared" si="401"/>
        <v>200</v>
      </c>
      <c r="AB369" s="78"/>
      <c r="AC369" s="78">
        <f t="shared" si="402"/>
        <v>200</v>
      </c>
      <c r="AD369" s="78"/>
      <c r="AE369" s="78">
        <f t="shared" si="403"/>
        <v>200</v>
      </c>
      <c r="AF369" s="78"/>
      <c r="AG369" s="78">
        <f t="shared" si="404"/>
        <v>200</v>
      </c>
      <c r="AH369" s="78"/>
      <c r="AI369" s="78">
        <f t="shared" si="405"/>
        <v>200</v>
      </c>
      <c r="AJ369" s="78"/>
      <c r="AK369" s="78">
        <f t="shared" si="406"/>
        <v>200</v>
      </c>
      <c r="AL369" s="78"/>
      <c r="AM369" s="78">
        <f t="shared" si="407"/>
        <v>200</v>
      </c>
    </row>
    <row r="370" spans="1:39" s="23" customFormat="1" ht="21" customHeight="1">
      <c r="A370" s="64"/>
      <c r="B370" s="84">
        <v>85195</v>
      </c>
      <c r="C370" s="83"/>
      <c r="D370" s="37" t="s">
        <v>6</v>
      </c>
      <c r="E370" s="78">
        <f aca="true" t="shared" si="408" ref="E370:AM370">SUM(E371)</f>
        <v>10000</v>
      </c>
      <c r="F370" s="78">
        <f t="shared" si="408"/>
        <v>0</v>
      </c>
      <c r="G370" s="78">
        <f t="shared" si="408"/>
        <v>10000</v>
      </c>
      <c r="H370" s="78">
        <f t="shared" si="408"/>
        <v>0</v>
      </c>
      <c r="I370" s="78">
        <f t="shared" si="408"/>
        <v>10000</v>
      </c>
      <c r="J370" s="78">
        <f t="shared" si="408"/>
        <v>0</v>
      </c>
      <c r="K370" s="78">
        <f t="shared" si="408"/>
        <v>10000</v>
      </c>
      <c r="L370" s="78">
        <f t="shared" si="408"/>
        <v>0</v>
      </c>
      <c r="M370" s="78">
        <f t="shared" si="408"/>
        <v>10000</v>
      </c>
      <c r="N370" s="78">
        <f t="shared" si="408"/>
        <v>0</v>
      </c>
      <c r="O370" s="78">
        <f t="shared" si="408"/>
        <v>10000</v>
      </c>
      <c r="P370" s="78">
        <f t="shared" si="408"/>
        <v>0</v>
      </c>
      <c r="Q370" s="78">
        <f t="shared" si="408"/>
        <v>10000</v>
      </c>
      <c r="R370" s="78">
        <f t="shared" si="408"/>
        <v>0</v>
      </c>
      <c r="S370" s="78">
        <f t="shared" si="408"/>
        <v>10000</v>
      </c>
      <c r="T370" s="78">
        <f t="shared" si="408"/>
        <v>0</v>
      </c>
      <c r="U370" s="78">
        <f t="shared" si="408"/>
        <v>10000</v>
      </c>
      <c r="V370" s="78">
        <f t="shared" si="408"/>
        <v>0</v>
      </c>
      <c r="W370" s="78">
        <f t="shared" si="408"/>
        <v>10000</v>
      </c>
      <c r="X370" s="78">
        <f t="shared" si="408"/>
        <v>0</v>
      </c>
      <c r="Y370" s="78">
        <f t="shared" si="408"/>
        <v>10000</v>
      </c>
      <c r="Z370" s="78">
        <f t="shared" si="408"/>
        <v>0</v>
      </c>
      <c r="AA370" s="78">
        <f t="shared" si="408"/>
        <v>10000</v>
      </c>
      <c r="AB370" s="78">
        <f t="shared" si="408"/>
        <v>0</v>
      </c>
      <c r="AC370" s="78">
        <f t="shared" si="408"/>
        <v>10000</v>
      </c>
      <c r="AD370" s="78">
        <f t="shared" si="408"/>
        <v>0</v>
      </c>
      <c r="AE370" s="78">
        <f t="shared" si="408"/>
        <v>10000</v>
      </c>
      <c r="AF370" s="78">
        <f t="shared" si="408"/>
        <v>0</v>
      </c>
      <c r="AG370" s="78">
        <f t="shared" si="408"/>
        <v>10000</v>
      </c>
      <c r="AH370" s="78">
        <f t="shared" si="408"/>
        <v>0</v>
      </c>
      <c r="AI370" s="78">
        <f t="shared" si="408"/>
        <v>10000</v>
      </c>
      <c r="AJ370" s="78">
        <f t="shared" si="408"/>
        <v>0</v>
      </c>
      <c r="AK370" s="78">
        <f t="shared" si="408"/>
        <v>10000</v>
      </c>
      <c r="AL370" s="78">
        <f t="shared" si="408"/>
        <v>0</v>
      </c>
      <c r="AM370" s="78">
        <f t="shared" si="408"/>
        <v>10000</v>
      </c>
    </row>
    <row r="371" spans="1:39" s="23" customFormat="1" ht="21" customHeight="1">
      <c r="A371" s="64"/>
      <c r="B371" s="84"/>
      <c r="C371" s="83">
        <v>4430</v>
      </c>
      <c r="D371" s="37" t="s">
        <v>93</v>
      </c>
      <c r="E371" s="78">
        <v>10000</v>
      </c>
      <c r="F371" s="78"/>
      <c r="G371" s="78">
        <f>SUM(E371:F371)</f>
        <v>10000</v>
      </c>
      <c r="H371" s="78"/>
      <c r="I371" s="78">
        <f>SUM(G371:H371)</f>
        <v>10000</v>
      </c>
      <c r="J371" s="78"/>
      <c r="K371" s="78">
        <f>SUM(I371:J371)</f>
        <v>10000</v>
      </c>
      <c r="L371" s="78"/>
      <c r="M371" s="78">
        <f>SUM(K371:L371)</f>
        <v>10000</v>
      </c>
      <c r="N371" s="78"/>
      <c r="O371" s="78">
        <f>SUM(M371:N371)</f>
        <v>10000</v>
      </c>
      <c r="P371" s="78"/>
      <c r="Q371" s="78">
        <f>SUM(O371:P371)</f>
        <v>10000</v>
      </c>
      <c r="R371" s="78"/>
      <c r="S371" s="78">
        <f>SUM(Q371:R371)</f>
        <v>10000</v>
      </c>
      <c r="T371" s="78"/>
      <c r="U371" s="78">
        <f>SUM(S371:T371)</f>
        <v>10000</v>
      </c>
      <c r="V371" s="78"/>
      <c r="W371" s="78">
        <f>SUM(U371:V371)</f>
        <v>10000</v>
      </c>
      <c r="X371" s="78"/>
      <c r="Y371" s="78">
        <f>SUM(W371:X371)</f>
        <v>10000</v>
      </c>
      <c r="Z371" s="78"/>
      <c r="AA371" s="78">
        <f>SUM(Y371:Z371)</f>
        <v>10000</v>
      </c>
      <c r="AB371" s="78"/>
      <c r="AC371" s="78">
        <f>SUM(AA371:AB371)</f>
        <v>10000</v>
      </c>
      <c r="AD371" s="78"/>
      <c r="AE371" s="78">
        <f>SUM(AC371:AD371)</f>
        <v>10000</v>
      </c>
      <c r="AF371" s="78"/>
      <c r="AG371" s="78">
        <f>SUM(AE371:AF371)</f>
        <v>10000</v>
      </c>
      <c r="AH371" s="78"/>
      <c r="AI371" s="78">
        <f>SUM(AG371:AH371)</f>
        <v>10000</v>
      </c>
      <c r="AJ371" s="78"/>
      <c r="AK371" s="78">
        <f>SUM(AI371:AJ371)</f>
        <v>10000</v>
      </c>
      <c r="AL371" s="78"/>
      <c r="AM371" s="78">
        <f>SUM(AK371:AL371)</f>
        <v>10000</v>
      </c>
    </row>
    <row r="372" spans="1:39" s="5" customFormat="1" ht="24.75" customHeight="1">
      <c r="A372" s="58">
        <v>852</v>
      </c>
      <c r="B372" s="33"/>
      <c r="C372" s="34"/>
      <c r="D372" s="35" t="s">
        <v>185</v>
      </c>
      <c r="E372" s="36">
        <f aca="true" t="shared" si="409" ref="E372:W372">SUM(E373,E397,E399,E403,E407,E432,E434,E405)</f>
        <v>11262797</v>
      </c>
      <c r="F372" s="36">
        <f t="shared" si="409"/>
        <v>0</v>
      </c>
      <c r="G372" s="36">
        <f t="shared" si="409"/>
        <v>11262797</v>
      </c>
      <c r="H372" s="36">
        <f t="shared" si="409"/>
        <v>530000</v>
      </c>
      <c r="I372" s="36">
        <f t="shared" si="409"/>
        <v>11792797</v>
      </c>
      <c r="J372" s="36">
        <f t="shared" si="409"/>
        <v>-73</v>
      </c>
      <c r="K372" s="36">
        <f t="shared" si="409"/>
        <v>11792724</v>
      </c>
      <c r="L372" s="36">
        <f t="shared" si="409"/>
        <v>5500</v>
      </c>
      <c r="M372" s="36">
        <f t="shared" si="409"/>
        <v>11798224</v>
      </c>
      <c r="N372" s="36">
        <f t="shared" si="409"/>
        <v>0</v>
      </c>
      <c r="O372" s="36">
        <f t="shared" si="409"/>
        <v>11798224</v>
      </c>
      <c r="P372" s="36">
        <f t="shared" si="409"/>
        <v>82751</v>
      </c>
      <c r="Q372" s="36">
        <f t="shared" si="409"/>
        <v>11880975</v>
      </c>
      <c r="R372" s="36">
        <f t="shared" si="409"/>
        <v>0</v>
      </c>
      <c r="S372" s="36">
        <f t="shared" si="409"/>
        <v>11880975</v>
      </c>
      <c r="T372" s="36">
        <f t="shared" si="409"/>
        <v>0</v>
      </c>
      <c r="U372" s="36">
        <f t="shared" si="409"/>
        <v>11880975</v>
      </c>
      <c r="V372" s="36">
        <f t="shared" si="409"/>
        <v>0</v>
      </c>
      <c r="W372" s="36">
        <f t="shared" si="409"/>
        <v>11880975</v>
      </c>
      <c r="X372" s="36">
        <f aca="true" t="shared" si="410" ref="X372:AC372">SUM(X373,X397,X399,X403,X407,X432,X434,X405)</f>
        <v>88119</v>
      </c>
      <c r="Y372" s="36">
        <f t="shared" si="410"/>
        <v>11969094</v>
      </c>
      <c r="Z372" s="36">
        <f t="shared" si="410"/>
        <v>17765</v>
      </c>
      <c r="AA372" s="36">
        <f t="shared" si="410"/>
        <v>11986859</v>
      </c>
      <c r="AB372" s="36">
        <f t="shared" si="410"/>
        <v>0</v>
      </c>
      <c r="AC372" s="36">
        <f t="shared" si="410"/>
        <v>11986859</v>
      </c>
      <c r="AD372" s="36">
        <f aca="true" t="shared" si="411" ref="AD372:AI372">SUM(AD373,AD397,AD399,AD403,AD407,AD432,AD434,AD405)</f>
        <v>728474</v>
      </c>
      <c r="AE372" s="36">
        <f t="shared" si="411"/>
        <v>12715333</v>
      </c>
      <c r="AF372" s="36">
        <f t="shared" si="411"/>
        <v>16649</v>
      </c>
      <c r="AG372" s="36">
        <f t="shared" si="411"/>
        <v>12731982</v>
      </c>
      <c r="AH372" s="36">
        <f t="shared" si="411"/>
        <v>0</v>
      </c>
      <c r="AI372" s="36">
        <f t="shared" si="411"/>
        <v>12731982</v>
      </c>
      <c r="AJ372" s="36">
        <f>SUM(AJ373,AJ397,AJ399,AJ403,AJ407,AJ432,AJ434,AJ405)</f>
        <v>171012</v>
      </c>
      <c r="AK372" s="36">
        <f>SUM(AK373,AK397,AK399,AK403,AK407,AK432,AK434,AK405)</f>
        <v>12902994</v>
      </c>
      <c r="AL372" s="36">
        <f>SUM(AL373,AL397,AL399,AL403,AL407,AL432,AL434,AL405)</f>
        <v>317204</v>
      </c>
      <c r="AM372" s="36">
        <f>SUM(AM373,AM397,AM399,AM403,AM407,AM432,AM434,AM405)</f>
        <v>13220198</v>
      </c>
    </row>
    <row r="373" spans="1:39" s="23" customFormat="1" ht="45">
      <c r="A373" s="93"/>
      <c r="B373" s="46">
        <v>85212</v>
      </c>
      <c r="C373" s="76"/>
      <c r="D373" s="74" t="s">
        <v>252</v>
      </c>
      <c r="E373" s="68">
        <f aca="true" t="shared" si="412" ref="E373:W373">SUM(E374:E396)</f>
        <v>6664636</v>
      </c>
      <c r="F373" s="68">
        <f t="shared" si="412"/>
        <v>0</v>
      </c>
      <c r="G373" s="68">
        <f t="shared" si="412"/>
        <v>6664636</v>
      </c>
      <c r="H373" s="68">
        <f t="shared" si="412"/>
        <v>0</v>
      </c>
      <c r="I373" s="68">
        <f t="shared" si="412"/>
        <v>6664636</v>
      </c>
      <c r="J373" s="68">
        <f t="shared" si="412"/>
        <v>0</v>
      </c>
      <c r="K373" s="68">
        <f t="shared" si="412"/>
        <v>6664636</v>
      </c>
      <c r="L373" s="68">
        <f t="shared" si="412"/>
        <v>0</v>
      </c>
      <c r="M373" s="68">
        <f t="shared" si="412"/>
        <v>6664636</v>
      </c>
      <c r="N373" s="68">
        <f t="shared" si="412"/>
        <v>0</v>
      </c>
      <c r="O373" s="68">
        <f t="shared" si="412"/>
        <v>6664636</v>
      </c>
      <c r="P373" s="68">
        <f t="shared" si="412"/>
        <v>0</v>
      </c>
      <c r="Q373" s="68">
        <f t="shared" si="412"/>
        <v>6664636</v>
      </c>
      <c r="R373" s="68">
        <f t="shared" si="412"/>
        <v>0</v>
      </c>
      <c r="S373" s="68">
        <f t="shared" si="412"/>
        <v>6664636</v>
      </c>
      <c r="T373" s="68">
        <f t="shared" si="412"/>
        <v>0</v>
      </c>
      <c r="U373" s="68">
        <f t="shared" si="412"/>
        <v>6664636</v>
      </c>
      <c r="V373" s="68">
        <f t="shared" si="412"/>
        <v>0</v>
      </c>
      <c r="W373" s="68">
        <f t="shared" si="412"/>
        <v>6664636</v>
      </c>
      <c r="X373" s="68">
        <f aca="true" t="shared" si="413" ref="X373:AC373">SUM(X374:X396)</f>
        <v>0</v>
      </c>
      <c r="Y373" s="68">
        <f t="shared" si="413"/>
        <v>6664636</v>
      </c>
      <c r="Z373" s="68">
        <f t="shared" si="413"/>
        <v>0</v>
      </c>
      <c r="AA373" s="68">
        <f t="shared" si="413"/>
        <v>6664636</v>
      </c>
      <c r="AB373" s="68">
        <f t="shared" si="413"/>
        <v>0</v>
      </c>
      <c r="AC373" s="68">
        <f t="shared" si="413"/>
        <v>6664636</v>
      </c>
      <c r="AD373" s="68">
        <f aca="true" t="shared" si="414" ref="AD373:AI373">SUM(AD374:AD396)</f>
        <v>0</v>
      </c>
      <c r="AE373" s="68">
        <f t="shared" si="414"/>
        <v>6664636</v>
      </c>
      <c r="AF373" s="68">
        <f t="shared" si="414"/>
        <v>0</v>
      </c>
      <c r="AG373" s="68">
        <f t="shared" si="414"/>
        <v>6664636</v>
      </c>
      <c r="AH373" s="68">
        <f t="shared" si="414"/>
        <v>0</v>
      </c>
      <c r="AI373" s="68">
        <f t="shared" si="414"/>
        <v>6664636</v>
      </c>
      <c r="AJ373" s="68">
        <f>SUM(AJ374:AJ396)</f>
        <v>6000</v>
      </c>
      <c r="AK373" s="68">
        <f>SUM(AK374:AK396)</f>
        <v>6670636</v>
      </c>
      <c r="AL373" s="68">
        <f>SUM(AL374:AL396)</f>
        <v>100000</v>
      </c>
      <c r="AM373" s="68">
        <f>SUM(AM374:AM396)</f>
        <v>6770636</v>
      </c>
    </row>
    <row r="374" spans="1:39" s="23" customFormat="1" ht="22.5">
      <c r="A374" s="93"/>
      <c r="B374" s="46"/>
      <c r="C374" s="76">
        <v>3020</v>
      </c>
      <c r="D374" s="37" t="s">
        <v>187</v>
      </c>
      <c r="E374" s="68">
        <v>1400</v>
      </c>
      <c r="F374" s="68"/>
      <c r="G374" s="68">
        <f>SUM(E374:F374)</f>
        <v>1400</v>
      </c>
      <c r="H374" s="68"/>
      <c r="I374" s="68">
        <f>SUM(G374:H374)</f>
        <v>1400</v>
      </c>
      <c r="J374" s="68"/>
      <c r="K374" s="68">
        <f>SUM(I374:J374)</f>
        <v>1400</v>
      </c>
      <c r="L374" s="68"/>
      <c r="M374" s="68">
        <f>SUM(K374:L374)</f>
        <v>1400</v>
      </c>
      <c r="N374" s="68"/>
      <c r="O374" s="68">
        <f>SUM(M374:N374)</f>
        <v>1400</v>
      </c>
      <c r="P374" s="68"/>
      <c r="Q374" s="68">
        <f>SUM(O374:P374)</f>
        <v>1400</v>
      </c>
      <c r="R374" s="68"/>
      <c r="S374" s="68">
        <f>SUM(Q374:R374)</f>
        <v>1400</v>
      </c>
      <c r="T374" s="68"/>
      <c r="U374" s="68">
        <f>SUM(S374:T374)</f>
        <v>1400</v>
      </c>
      <c r="V374" s="68"/>
      <c r="W374" s="68">
        <f>SUM(U374:V374)</f>
        <v>1400</v>
      </c>
      <c r="X374" s="68"/>
      <c r="Y374" s="68">
        <f>SUM(W374:X374)</f>
        <v>1400</v>
      </c>
      <c r="Z374" s="68"/>
      <c r="AA374" s="68">
        <f>SUM(Y374:Z374)</f>
        <v>1400</v>
      </c>
      <c r="AB374" s="68"/>
      <c r="AC374" s="68">
        <f>SUM(AA374:AB374)</f>
        <v>1400</v>
      </c>
      <c r="AD374" s="68"/>
      <c r="AE374" s="68">
        <f>SUM(AC374:AD374)</f>
        <v>1400</v>
      </c>
      <c r="AF374" s="68"/>
      <c r="AG374" s="68">
        <f>SUM(AE374:AF374)</f>
        <v>1400</v>
      </c>
      <c r="AH374" s="68"/>
      <c r="AI374" s="68">
        <f>SUM(AG374:AH374)</f>
        <v>1400</v>
      </c>
      <c r="AJ374" s="68"/>
      <c r="AK374" s="68">
        <f>SUM(AI374:AJ374)</f>
        <v>1400</v>
      </c>
      <c r="AL374" s="68"/>
      <c r="AM374" s="68">
        <f>SUM(AK374:AL374)</f>
        <v>1400</v>
      </c>
    </row>
    <row r="375" spans="1:39" s="23" customFormat="1" ht="21" customHeight="1">
      <c r="A375" s="93"/>
      <c r="B375" s="46"/>
      <c r="C375" s="76">
        <v>3110</v>
      </c>
      <c r="D375" s="74" t="s">
        <v>111</v>
      </c>
      <c r="E375" s="68">
        <f>6354761-50000</f>
        <v>6304761</v>
      </c>
      <c r="F375" s="68"/>
      <c r="G375" s="68">
        <f aca="true" t="shared" si="415" ref="G375:G396">SUM(E375:F375)</f>
        <v>6304761</v>
      </c>
      <c r="H375" s="68"/>
      <c r="I375" s="68">
        <f aca="true" t="shared" si="416" ref="I375:I396">SUM(G375:H375)</f>
        <v>6304761</v>
      </c>
      <c r="J375" s="68"/>
      <c r="K375" s="68">
        <f aca="true" t="shared" si="417" ref="K375:K396">SUM(I375:J375)</f>
        <v>6304761</v>
      </c>
      <c r="L375" s="68"/>
      <c r="M375" s="68">
        <f aca="true" t="shared" si="418" ref="M375:M396">SUM(K375:L375)</f>
        <v>6304761</v>
      </c>
      <c r="N375" s="68"/>
      <c r="O375" s="68">
        <f aca="true" t="shared" si="419" ref="O375:O396">SUM(M375:N375)</f>
        <v>6304761</v>
      </c>
      <c r="P375" s="68"/>
      <c r="Q375" s="68">
        <f aca="true" t="shared" si="420" ref="Q375:Q396">SUM(O375:P375)</f>
        <v>6304761</v>
      </c>
      <c r="R375" s="68"/>
      <c r="S375" s="68">
        <f aca="true" t="shared" si="421" ref="S375:S396">SUM(Q375:R375)</f>
        <v>6304761</v>
      </c>
      <c r="T375" s="68"/>
      <c r="U375" s="68">
        <f aca="true" t="shared" si="422" ref="U375:U396">SUM(S375:T375)</f>
        <v>6304761</v>
      </c>
      <c r="V375" s="68"/>
      <c r="W375" s="68">
        <f aca="true" t="shared" si="423" ref="W375:W396">SUM(U375:V375)</f>
        <v>6304761</v>
      </c>
      <c r="X375" s="68"/>
      <c r="Y375" s="68">
        <f aca="true" t="shared" si="424" ref="Y375:Y396">SUM(W375:X375)</f>
        <v>6304761</v>
      </c>
      <c r="Z375" s="68"/>
      <c r="AA375" s="68">
        <f aca="true" t="shared" si="425" ref="AA375:AA396">SUM(Y375:Z375)</f>
        <v>6304761</v>
      </c>
      <c r="AB375" s="68"/>
      <c r="AC375" s="68">
        <f aca="true" t="shared" si="426" ref="AC375:AC396">SUM(AA375:AB375)</f>
        <v>6304761</v>
      </c>
      <c r="AD375" s="68"/>
      <c r="AE375" s="68">
        <f aca="true" t="shared" si="427" ref="AE375:AE396">SUM(AC375:AD375)</f>
        <v>6304761</v>
      </c>
      <c r="AF375" s="68"/>
      <c r="AG375" s="68">
        <f aca="true" t="shared" si="428" ref="AG375:AG396">SUM(AE375:AF375)</f>
        <v>6304761</v>
      </c>
      <c r="AH375" s="68"/>
      <c r="AI375" s="68">
        <f aca="true" t="shared" si="429" ref="AI375:AI396">SUM(AG375:AH375)</f>
        <v>6304761</v>
      </c>
      <c r="AJ375" s="68"/>
      <c r="AK375" s="68">
        <f aca="true" t="shared" si="430" ref="AK375:AK396">SUM(AI375:AJ375)</f>
        <v>6304761</v>
      </c>
      <c r="AL375" s="68">
        <v>85000</v>
      </c>
      <c r="AM375" s="68">
        <f aca="true" t="shared" si="431" ref="AM375:AM396">SUM(AK375:AL375)</f>
        <v>6389761</v>
      </c>
    </row>
    <row r="376" spans="1:42" s="23" customFormat="1" ht="21" customHeight="1">
      <c r="A376" s="93"/>
      <c r="B376" s="46"/>
      <c r="C376" s="46">
        <v>4010</v>
      </c>
      <c r="D376" s="12" t="s">
        <v>83</v>
      </c>
      <c r="E376" s="68">
        <v>193600</v>
      </c>
      <c r="F376" s="68"/>
      <c r="G376" s="68">
        <f t="shared" si="415"/>
        <v>193600</v>
      </c>
      <c r="H376" s="68"/>
      <c r="I376" s="68">
        <f t="shared" si="416"/>
        <v>193600</v>
      </c>
      <c r="J376" s="68"/>
      <c r="K376" s="68">
        <f t="shared" si="417"/>
        <v>193600</v>
      </c>
      <c r="L376" s="68"/>
      <c r="M376" s="68">
        <f t="shared" si="418"/>
        <v>193600</v>
      </c>
      <c r="N376" s="68"/>
      <c r="O376" s="68">
        <f t="shared" si="419"/>
        <v>193600</v>
      </c>
      <c r="P376" s="68">
        <v>-471</v>
      </c>
      <c r="Q376" s="68">
        <f t="shared" si="420"/>
        <v>193129</v>
      </c>
      <c r="R376" s="68"/>
      <c r="S376" s="68">
        <f t="shared" si="421"/>
        <v>193129</v>
      </c>
      <c r="T376" s="68"/>
      <c r="U376" s="68">
        <f t="shared" si="422"/>
        <v>193129</v>
      </c>
      <c r="V376" s="68"/>
      <c r="W376" s="68">
        <f t="shared" si="423"/>
        <v>193129</v>
      </c>
      <c r="X376" s="68"/>
      <c r="Y376" s="68">
        <f t="shared" si="424"/>
        <v>193129</v>
      </c>
      <c r="Z376" s="68"/>
      <c r="AA376" s="68">
        <f t="shared" si="425"/>
        <v>193129</v>
      </c>
      <c r="AB376" s="68"/>
      <c r="AC376" s="68">
        <f t="shared" si="426"/>
        <v>193129</v>
      </c>
      <c r="AD376" s="68"/>
      <c r="AE376" s="68">
        <f t="shared" si="427"/>
        <v>193129</v>
      </c>
      <c r="AF376" s="68"/>
      <c r="AG376" s="68">
        <f t="shared" si="428"/>
        <v>193129</v>
      </c>
      <c r="AH376" s="68"/>
      <c r="AI376" s="68">
        <f t="shared" si="429"/>
        <v>193129</v>
      </c>
      <c r="AJ376" s="68"/>
      <c r="AK376" s="68">
        <f t="shared" si="430"/>
        <v>193129</v>
      </c>
      <c r="AL376" s="68">
        <v>3000</v>
      </c>
      <c r="AM376" s="68">
        <f t="shared" si="431"/>
        <v>196129</v>
      </c>
      <c r="AN376" s="113"/>
      <c r="AO376" s="113"/>
      <c r="AP376" s="113"/>
    </row>
    <row r="377" spans="1:42" s="23" customFormat="1" ht="21" customHeight="1">
      <c r="A377" s="93"/>
      <c r="B377" s="46"/>
      <c r="C377" s="46">
        <v>4040</v>
      </c>
      <c r="D377" s="12" t="s">
        <v>84</v>
      </c>
      <c r="E377" s="68">
        <v>15400</v>
      </c>
      <c r="F377" s="68"/>
      <c r="G377" s="68">
        <f t="shared" si="415"/>
        <v>15400</v>
      </c>
      <c r="H377" s="68"/>
      <c r="I377" s="68">
        <f t="shared" si="416"/>
        <v>15400</v>
      </c>
      <c r="J377" s="68"/>
      <c r="K377" s="68">
        <f t="shared" si="417"/>
        <v>15400</v>
      </c>
      <c r="L377" s="68"/>
      <c r="M377" s="68">
        <f t="shared" si="418"/>
        <v>15400</v>
      </c>
      <c r="N377" s="68"/>
      <c r="O377" s="68">
        <f t="shared" si="419"/>
        <v>15400</v>
      </c>
      <c r="P377" s="68">
        <v>-2094</v>
      </c>
      <c r="Q377" s="68">
        <f t="shared" si="420"/>
        <v>13306</v>
      </c>
      <c r="R377" s="68"/>
      <c r="S377" s="68">
        <f t="shared" si="421"/>
        <v>13306</v>
      </c>
      <c r="T377" s="68"/>
      <c r="U377" s="68">
        <f t="shared" si="422"/>
        <v>13306</v>
      </c>
      <c r="V377" s="68"/>
      <c r="W377" s="68">
        <f t="shared" si="423"/>
        <v>13306</v>
      </c>
      <c r="X377" s="68"/>
      <c r="Y377" s="68">
        <f t="shared" si="424"/>
        <v>13306</v>
      </c>
      <c r="Z377" s="68"/>
      <c r="AA377" s="68">
        <f t="shared" si="425"/>
        <v>13306</v>
      </c>
      <c r="AB377" s="68"/>
      <c r="AC377" s="68">
        <f t="shared" si="426"/>
        <v>13306</v>
      </c>
      <c r="AD377" s="68"/>
      <c r="AE377" s="68">
        <f t="shared" si="427"/>
        <v>13306</v>
      </c>
      <c r="AF377" s="68"/>
      <c r="AG377" s="68">
        <f t="shared" si="428"/>
        <v>13306</v>
      </c>
      <c r="AH377" s="68"/>
      <c r="AI377" s="68">
        <f t="shared" si="429"/>
        <v>13306</v>
      </c>
      <c r="AJ377" s="68"/>
      <c r="AK377" s="68">
        <f t="shared" si="430"/>
        <v>13306</v>
      </c>
      <c r="AL377" s="68"/>
      <c r="AM377" s="68">
        <f t="shared" si="431"/>
        <v>13306</v>
      </c>
      <c r="AN377" s="113"/>
      <c r="AO377" s="113"/>
      <c r="AP377" s="113"/>
    </row>
    <row r="378" spans="1:42" s="23" customFormat="1" ht="21" customHeight="1">
      <c r="A378" s="93"/>
      <c r="B378" s="46"/>
      <c r="C378" s="46">
        <v>4110</v>
      </c>
      <c r="D378" s="12" t="s">
        <v>85</v>
      </c>
      <c r="E378" s="68">
        <f>32400+50000</f>
        <v>82400</v>
      </c>
      <c r="F378" s="68"/>
      <c r="G378" s="68">
        <f t="shared" si="415"/>
        <v>82400</v>
      </c>
      <c r="H378" s="68"/>
      <c r="I378" s="68">
        <f t="shared" si="416"/>
        <v>82400</v>
      </c>
      <c r="J378" s="68"/>
      <c r="K378" s="68">
        <f t="shared" si="417"/>
        <v>82400</v>
      </c>
      <c r="L378" s="68"/>
      <c r="M378" s="68">
        <f t="shared" si="418"/>
        <v>82400</v>
      </c>
      <c r="N378" s="68"/>
      <c r="O378" s="68">
        <f t="shared" si="419"/>
        <v>82400</v>
      </c>
      <c r="P378" s="68">
        <v>2865</v>
      </c>
      <c r="Q378" s="68">
        <f t="shared" si="420"/>
        <v>85265</v>
      </c>
      <c r="R378" s="68">
        <v>-365</v>
      </c>
      <c r="S378" s="68">
        <f t="shared" si="421"/>
        <v>84900</v>
      </c>
      <c r="T378" s="68"/>
      <c r="U378" s="68">
        <f t="shared" si="422"/>
        <v>84900</v>
      </c>
      <c r="V378" s="68"/>
      <c r="W378" s="68">
        <f t="shared" si="423"/>
        <v>84900</v>
      </c>
      <c r="X378" s="68"/>
      <c r="Y378" s="68">
        <f t="shared" si="424"/>
        <v>84900</v>
      </c>
      <c r="Z378" s="68"/>
      <c r="AA378" s="68">
        <f t="shared" si="425"/>
        <v>84900</v>
      </c>
      <c r="AB378" s="68"/>
      <c r="AC378" s="68">
        <f t="shared" si="426"/>
        <v>84900</v>
      </c>
      <c r="AD378" s="68"/>
      <c r="AE378" s="68">
        <f t="shared" si="427"/>
        <v>84900</v>
      </c>
      <c r="AF378" s="68"/>
      <c r="AG378" s="68">
        <f t="shared" si="428"/>
        <v>84900</v>
      </c>
      <c r="AH378" s="68"/>
      <c r="AI378" s="68">
        <f t="shared" si="429"/>
        <v>84900</v>
      </c>
      <c r="AJ378" s="68"/>
      <c r="AK378" s="68">
        <f t="shared" si="430"/>
        <v>84900</v>
      </c>
      <c r="AL378" s="68">
        <v>12000</v>
      </c>
      <c r="AM378" s="68">
        <f t="shared" si="431"/>
        <v>96900</v>
      </c>
      <c r="AN378" s="113"/>
      <c r="AO378" s="113"/>
      <c r="AP378" s="113"/>
    </row>
    <row r="379" spans="1:42" s="23" customFormat="1" ht="21" customHeight="1">
      <c r="A379" s="93"/>
      <c r="B379" s="46"/>
      <c r="C379" s="46">
        <v>4120</v>
      </c>
      <c r="D379" s="12" t="s">
        <v>86</v>
      </c>
      <c r="E379" s="68">
        <v>5300</v>
      </c>
      <c r="F379" s="68"/>
      <c r="G379" s="68">
        <f t="shared" si="415"/>
        <v>5300</v>
      </c>
      <c r="H379" s="68"/>
      <c r="I379" s="68">
        <f t="shared" si="416"/>
        <v>5300</v>
      </c>
      <c r="J379" s="68"/>
      <c r="K379" s="68">
        <f t="shared" si="417"/>
        <v>5300</v>
      </c>
      <c r="L379" s="68"/>
      <c r="M379" s="68">
        <f t="shared" si="418"/>
        <v>5300</v>
      </c>
      <c r="N379" s="68"/>
      <c r="O379" s="68">
        <f t="shared" si="419"/>
        <v>5300</v>
      </c>
      <c r="P379" s="68">
        <v>-300</v>
      </c>
      <c r="Q379" s="68">
        <f t="shared" si="420"/>
        <v>5000</v>
      </c>
      <c r="R379" s="68"/>
      <c r="S379" s="68">
        <f t="shared" si="421"/>
        <v>5000</v>
      </c>
      <c r="T379" s="68"/>
      <c r="U379" s="68">
        <f t="shared" si="422"/>
        <v>5000</v>
      </c>
      <c r="V379" s="68"/>
      <c r="W379" s="68">
        <f t="shared" si="423"/>
        <v>5000</v>
      </c>
      <c r="X379" s="68"/>
      <c r="Y379" s="68">
        <f t="shared" si="424"/>
        <v>5000</v>
      </c>
      <c r="Z379" s="68"/>
      <c r="AA379" s="68">
        <f t="shared" si="425"/>
        <v>5000</v>
      </c>
      <c r="AB379" s="68"/>
      <c r="AC379" s="68">
        <f t="shared" si="426"/>
        <v>5000</v>
      </c>
      <c r="AD379" s="68"/>
      <c r="AE379" s="68">
        <f t="shared" si="427"/>
        <v>5000</v>
      </c>
      <c r="AF379" s="68"/>
      <c r="AG379" s="68">
        <f t="shared" si="428"/>
        <v>5000</v>
      </c>
      <c r="AH379" s="68"/>
      <c r="AI379" s="68">
        <f t="shared" si="429"/>
        <v>5000</v>
      </c>
      <c r="AJ379" s="68"/>
      <c r="AK379" s="68">
        <f t="shared" si="430"/>
        <v>5000</v>
      </c>
      <c r="AL379" s="68"/>
      <c r="AM379" s="68">
        <f t="shared" si="431"/>
        <v>5000</v>
      </c>
      <c r="AN379" s="113"/>
      <c r="AO379" s="113"/>
      <c r="AP379" s="113"/>
    </row>
    <row r="380" spans="1:42" s="23" customFormat="1" ht="21" customHeight="1">
      <c r="A380" s="93"/>
      <c r="B380" s="75"/>
      <c r="C380" s="46">
        <v>4170</v>
      </c>
      <c r="D380" s="37" t="s">
        <v>189</v>
      </c>
      <c r="E380" s="68">
        <v>3000</v>
      </c>
      <c r="F380" s="68"/>
      <c r="G380" s="68">
        <f t="shared" si="415"/>
        <v>3000</v>
      </c>
      <c r="H380" s="68"/>
      <c r="I380" s="68">
        <f t="shared" si="416"/>
        <v>3000</v>
      </c>
      <c r="J380" s="68"/>
      <c r="K380" s="68">
        <f t="shared" si="417"/>
        <v>3000</v>
      </c>
      <c r="L380" s="68"/>
      <c r="M380" s="68">
        <f t="shared" si="418"/>
        <v>3000</v>
      </c>
      <c r="N380" s="68"/>
      <c r="O380" s="68">
        <f t="shared" si="419"/>
        <v>3000</v>
      </c>
      <c r="P380" s="68"/>
      <c r="Q380" s="68">
        <f t="shared" si="420"/>
        <v>3000</v>
      </c>
      <c r="R380" s="68"/>
      <c r="S380" s="68">
        <f t="shared" si="421"/>
        <v>3000</v>
      </c>
      <c r="T380" s="68"/>
      <c r="U380" s="68">
        <f t="shared" si="422"/>
        <v>3000</v>
      </c>
      <c r="V380" s="68"/>
      <c r="W380" s="68">
        <f t="shared" si="423"/>
        <v>3000</v>
      </c>
      <c r="X380" s="68"/>
      <c r="Y380" s="68">
        <f t="shared" si="424"/>
        <v>3000</v>
      </c>
      <c r="Z380" s="68"/>
      <c r="AA380" s="68">
        <f t="shared" si="425"/>
        <v>3000</v>
      </c>
      <c r="AB380" s="68"/>
      <c r="AC380" s="68">
        <f t="shared" si="426"/>
        <v>3000</v>
      </c>
      <c r="AD380" s="68"/>
      <c r="AE380" s="68">
        <f t="shared" si="427"/>
        <v>3000</v>
      </c>
      <c r="AF380" s="68"/>
      <c r="AG380" s="68">
        <f t="shared" si="428"/>
        <v>3000</v>
      </c>
      <c r="AH380" s="68"/>
      <c r="AI380" s="68">
        <f t="shared" si="429"/>
        <v>3000</v>
      </c>
      <c r="AJ380" s="68"/>
      <c r="AK380" s="68">
        <f t="shared" si="430"/>
        <v>3000</v>
      </c>
      <c r="AL380" s="68"/>
      <c r="AM380" s="68">
        <f t="shared" si="431"/>
        <v>3000</v>
      </c>
      <c r="AN380" s="113"/>
      <c r="AO380" s="113"/>
      <c r="AP380" s="113"/>
    </row>
    <row r="381" spans="1:39" s="23" customFormat="1" ht="21" customHeight="1">
      <c r="A381" s="93"/>
      <c r="B381" s="75"/>
      <c r="C381" s="46">
        <v>4210</v>
      </c>
      <c r="D381" s="12" t="s">
        <v>91</v>
      </c>
      <c r="E381" s="68">
        <v>8350</v>
      </c>
      <c r="F381" s="68"/>
      <c r="G381" s="68">
        <f t="shared" si="415"/>
        <v>8350</v>
      </c>
      <c r="H381" s="68"/>
      <c r="I381" s="68">
        <f t="shared" si="416"/>
        <v>8350</v>
      </c>
      <c r="J381" s="68"/>
      <c r="K381" s="68">
        <f t="shared" si="417"/>
        <v>8350</v>
      </c>
      <c r="L381" s="68"/>
      <c r="M381" s="68">
        <f t="shared" si="418"/>
        <v>8350</v>
      </c>
      <c r="N381" s="68"/>
      <c r="O381" s="68">
        <f t="shared" si="419"/>
        <v>8350</v>
      </c>
      <c r="P381" s="68"/>
      <c r="Q381" s="68">
        <f t="shared" si="420"/>
        <v>8350</v>
      </c>
      <c r="R381" s="68"/>
      <c r="S381" s="68">
        <f t="shared" si="421"/>
        <v>8350</v>
      </c>
      <c r="T381" s="68"/>
      <c r="U381" s="68">
        <f t="shared" si="422"/>
        <v>8350</v>
      </c>
      <c r="V381" s="68"/>
      <c r="W381" s="68">
        <f t="shared" si="423"/>
        <v>8350</v>
      </c>
      <c r="X381" s="68"/>
      <c r="Y381" s="68">
        <f t="shared" si="424"/>
        <v>8350</v>
      </c>
      <c r="Z381" s="68"/>
      <c r="AA381" s="68">
        <f t="shared" si="425"/>
        <v>8350</v>
      </c>
      <c r="AB381" s="68"/>
      <c r="AC381" s="68">
        <f t="shared" si="426"/>
        <v>8350</v>
      </c>
      <c r="AD381" s="68"/>
      <c r="AE381" s="68">
        <f t="shared" si="427"/>
        <v>8350</v>
      </c>
      <c r="AF381" s="68"/>
      <c r="AG381" s="68">
        <f t="shared" si="428"/>
        <v>8350</v>
      </c>
      <c r="AH381" s="68"/>
      <c r="AI381" s="68">
        <f t="shared" si="429"/>
        <v>8350</v>
      </c>
      <c r="AJ381" s="68"/>
      <c r="AK381" s="68">
        <f t="shared" si="430"/>
        <v>8350</v>
      </c>
      <c r="AL381" s="68"/>
      <c r="AM381" s="68">
        <f t="shared" si="431"/>
        <v>8350</v>
      </c>
    </row>
    <row r="382" spans="1:39" s="23" customFormat="1" ht="21" customHeight="1">
      <c r="A382" s="93"/>
      <c r="B382" s="75"/>
      <c r="C382" s="46">
        <v>4260</v>
      </c>
      <c r="D382" s="37" t="s">
        <v>94</v>
      </c>
      <c r="E382" s="68">
        <v>14000</v>
      </c>
      <c r="F382" s="68"/>
      <c r="G382" s="68">
        <f t="shared" si="415"/>
        <v>14000</v>
      </c>
      <c r="H382" s="68"/>
      <c r="I382" s="68">
        <f t="shared" si="416"/>
        <v>14000</v>
      </c>
      <c r="J382" s="68"/>
      <c r="K382" s="68">
        <f t="shared" si="417"/>
        <v>14000</v>
      </c>
      <c r="L382" s="68"/>
      <c r="M382" s="68">
        <f t="shared" si="418"/>
        <v>14000</v>
      </c>
      <c r="N382" s="68"/>
      <c r="O382" s="68">
        <f t="shared" si="419"/>
        <v>14000</v>
      </c>
      <c r="P382" s="68"/>
      <c r="Q382" s="68">
        <f t="shared" si="420"/>
        <v>14000</v>
      </c>
      <c r="R382" s="68"/>
      <c r="S382" s="68">
        <f t="shared" si="421"/>
        <v>14000</v>
      </c>
      <c r="T382" s="68"/>
      <c r="U382" s="68">
        <f t="shared" si="422"/>
        <v>14000</v>
      </c>
      <c r="V382" s="68"/>
      <c r="W382" s="68">
        <f t="shared" si="423"/>
        <v>14000</v>
      </c>
      <c r="X382" s="68"/>
      <c r="Y382" s="68">
        <f t="shared" si="424"/>
        <v>14000</v>
      </c>
      <c r="Z382" s="68"/>
      <c r="AA382" s="68">
        <f t="shared" si="425"/>
        <v>14000</v>
      </c>
      <c r="AB382" s="68"/>
      <c r="AC382" s="68">
        <f t="shared" si="426"/>
        <v>14000</v>
      </c>
      <c r="AD382" s="68"/>
      <c r="AE382" s="68">
        <f t="shared" si="427"/>
        <v>14000</v>
      </c>
      <c r="AF382" s="68"/>
      <c r="AG382" s="68">
        <f t="shared" si="428"/>
        <v>14000</v>
      </c>
      <c r="AH382" s="68"/>
      <c r="AI382" s="68">
        <f t="shared" si="429"/>
        <v>14000</v>
      </c>
      <c r="AJ382" s="68">
        <v>5000</v>
      </c>
      <c r="AK382" s="68">
        <f t="shared" si="430"/>
        <v>19000</v>
      </c>
      <c r="AL382" s="68"/>
      <c r="AM382" s="68">
        <f t="shared" si="431"/>
        <v>19000</v>
      </c>
    </row>
    <row r="383" spans="1:39" s="23" customFormat="1" ht="21" customHeight="1">
      <c r="A383" s="93"/>
      <c r="B383" s="75"/>
      <c r="C383" s="46">
        <v>4270</v>
      </c>
      <c r="D383" s="37" t="s">
        <v>77</v>
      </c>
      <c r="E383" s="68">
        <v>1000</v>
      </c>
      <c r="F383" s="68"/>
      <c r="G383" s="68">
        <f t="shared" si="415"/>
        <v>1000</v>
      </c>
      <c r="H383" s="68"/>
      <c r="I383" s="68">
        <f t="shared" si="416"/>
        <v>1000</v>
      </c>
      <c r="J383" s="68"/>
      <c r="K383" s="68">
        <f t="shared" si="417"/>
        <v>1000</v>
      </c>
      <c r="L383" s="68"/>
      <c r="M383" s="68">
        <f t="shared" si="418"/>
        <v>1000</v>
      </c>
      <c r="N383" s="68"/>
      <c r="O383" s="68">
        <f t="shared" si="419"/>
        <v>1000</v>
      </c>
      <c r="P383" s="68"/>
      <c r="Q383" s="68">
        <f t="shared" si="420"/>
        <v>1000</v>
      </c>
      <c r="R383" s="68"/>
      <c r="S383" s="68">
        <f t="shared" si="421"/>
        <v>1000</v>
      </c>
      <c r="T383" s="68"/>
      <c r="U383" s="68">
        <f t="shared" si="422"/>
        <v>1000</v>
      </c>
      <c r="V383" s="68"/>
      <c r="W383" s="68">
        <f t="shared" si="423"/>
        <v>1000</v>
      </c>
      <c r="X383" s="68"/>
      <c r="Y383" s="68">
        <f t="shared" si="424"/>
        <v>1000</v>
      </c>
      <c r="Z383" s="68"/>
      <c r="AA383" s="68">
        <f t="shared" si="425"/>
        <v>1000</v>
      </c>
      <c r="AB383" s="68"/>
      <c r="AC383" s="68">
        <f t="shared" si="426"/>
        <v>1000</v>
      </c>
      <c r="AD383" s="68"/>
      <c r="AE383" s="68">
        <f t="shared" si="427"/>
        <v>1000</v>
      </c>
      <c r="AF383" s="68"/>
      <c r="AG383" s="68">
        <f t="shared" si="428"/>
        <v>1000</v>
      </c>
      <c r="AH383" s="68"/>
      <c r="AI383" s="68">
        <f t="shared" si="429"/>
        <v>1000</v>
      </c>
      <c r="AJ383" s="68"/>
      <c r="AK383" s="68">
        <f t="shared" si="430"/>
        <v>1000</v>
      </c>
      <c r="AL383" s="68"/>
      <c r="AM383" s="68">
        <f t="shared" si="431"/>
        <v>1000</v>
      </c>
    </row>
    <row r="384" spans="1:39" s="23" customFormat="1" ht="21" customHeight="1">
      <c r="A384" s="93"/>
      <c r="B384" s="75"/>
      <c r="C384" s="46">
        <v>4280</v>
      </c>
      <c r="D384" s="37" t="s">
        <v>196</v>
      </c>
      <c r="E384" s="68">
        <v>800</v>
      </c>
      <c r="F384" s="68"/>
      <c r="G384" s="68">
        <f t="shared" si="415"/>
        <v>800</v>
      </c>
      <c r="H384" s="68"/>
      <c r="I384" s="68">
        <f t="shared" si="416"/>
        <v>800</v>
      </c>
      <c r="J384" s="68"/>
      <c r="K384" s="68">
        <f t="shared" si="417"/>
        <v>800</v>
      </c>
      <c r="L384" s="68"/>
      <c r="M384" s="68">
        <f t="shared" si="418"/>
        <v>800</v>
      </c>
      <c r="N384" s="68"/>
      <c r="O384" s="68">
        <f t="shared" si="419"/>
        <v>800</v>
      </c>
      <c r="P384" s="68"/>
      <c r="Q384" s="68">
        <f t="shared" si="420"/>
        <v>800</v>
      </c>
      <c r="R384" s="68"/>
      <c r="S384" s="68">
        <f t="shared" si="421"/>
        <v>800</v>
      </c>
      <c r="T384" s="68"/>
      <c r="U384" s="68">
        <f t="shared" si="422"/>
        <v>800</v>
      </c>
      <c r="V384" s="68"/>
      <c r="W384" s="68">
        <f t="shared" si="423"/>
        <v>800</v>
      </c>
      <c r="X384" s="68"/>
      <c r="Y384" s="68">
        <f t="shared" si="424"/>
        <v>800</v>
      </c>
      <c r="Z384" s="68"/>
      <c r="AA384" s="68">
        <f t="shared" si="425"/>
        <v>800</v>
      </c>
      <c r="AB384" s="68"/>
      <c r="AC384" s="68">
        <f t="shared" si="426"/>
        <v>800</v>
      </c>
      <c r="AD384" s="68"/>
      <c r="AE384" s="68">
        <f t="shared" si="427"/>
        <v>800</v>
      </c>
      <c r="AF384" s="68"/>
      <c r="AG384" s="68">
        <f t="shared" si="428"/>
        <v>800</v>
      </c>
      <c r="AH384" s="68"/>
      <c r="AI384" s="68">
        <f t="shared" si="429"/>
        <v>800</v>
      </c>
      <c r="AJ384" s="68"/>
      <c r="AK384" s="68">
        <f t="shared" si="430"/>
        <v>800</v>
      </c>
      <c r="AL384" s="68"/>
      <c r="AM384" s="68">
        <f t="shared" si="431"/>
        <v>800</v>
      </c>
    </row>
    <row r="385" spans="1:39" s="23" customFormat="1" ht="21" customHeight="1">
      <c r="A385" s="93"/>
      <c r="B385" s="75"/>
      <c r="C385" s="46">
        <v>4300</v>
      </c>
      <c r="D385" s="12" t="s">
        <v>78</v>
      </c>
      <c r="E385" s="68">
        <v>6150</v>
      </c>
      <c r="F385" s="68"/>
      <c r="G385" s="68">
        <f t="shared" si="415"/>
        <v>6150</v>
      </c>
      <c r="H385" s="68"/>
      <c r="I385" s="68">
        <f t="shared" si="416"/>
        <v>6150</v>
      </c>
      <c r="J385" s="68"/>
      <c r="K385" s="68">
        <f t="shared" si="417"/>
        <v>6150</v>
      </c>
      <c r="L385" s="68"/>
      <c r="M385" s="68">
        <f t="shared" si="418"/>
        <v>6150</v>
      </c>
      <c r="N385" s="68"/>
      <c r="O385" s="68">
        <f t="shared" si="419"/>
        <v>6150</v>
      </c>
      <c r="P385" s="68"/>
      <c r="Q385" s="68">
        <f t="shared" si="420"/>
        <v>6150</v>
      </c>
      <c r="R385" s="68"/>
      <c r="S385" s="68">
        <f t="shared" si="421"/>
        <v>6150</v>
      </c>
      <c r="T385" s="68"/>
      <c r="U385" s="68">
        <f t="shared" si="422"/>
        <v>6150</v>
      </c>
      <c r="V385" s="68"/>
      <c r="W385" s="68">
        <f t="shared" si="423"/>
        <v>6150</v>
      </c>
      <c r="X385" s="68"/>
      <c r="Y385" s="68">
        <f t="shared" si="424"/>
        <v>6150</v>
      </c>
      <c r="Z385" s="68"/>
      <c r="AA385" s="68">
        <f t="shared" si="425"/>
        <v>6150</v>
      </c>
      <c r="AB385" s="68"/>
      <c r="AC385" s="68">
        <f t="shared" si="426"/>
        <v>6150</v>
      </c>
      <c r="AD385" s="68"/>
      <c r="AE385" s="68">
        <f t="shared" si="427"/>
        <v>6150</v>
      </c>
      <c r="AF385" s="68"/>
      <c r="AG385" s="68">
        <f t="shared" si="428"/>
        <v>6150</v>
      </c>
      <c r="AH385" s="68"/>
      <c r="AI385" s="68">
        <f t="shared" si="429"/>
        <v>6150</v>
      </c>
      <c r="AJ385" s="68">
        <v>1000</v>
      </c>
      <c r="AK385" s="68">
        <f t="shared" si="430"/>
        <v>7150</v>
      </c>
      <c r="AL385" s="68"/>
      <c r="AM385" s="68">
        <f t="shared" si="431"/>
        <v>7150</v>
      </c>
    </row>
    <row r="386" spans="1:39" s="23" customFormat="1" ht="21" customHeight="1">
      <c r="A386" s="93"/>
      <c r="B386" s="75"/>
      <c r="C386" s="46">
        <v>4350</v>
      </c>
      <c r="D386" s="37" t="s">
        <v>203</v>
      </c>
      <c r="E386" s="68">
        <v>1600</v>
      </c>
      <c r="F386" s="68"/>
      <c r="G386" s="68">
        <f t="shared" si="415"/>
        <v>1600</v>
      </c>
      <c r="H386" s="68"/>
      <c r="I386" s="68">
        <f t="shared" si="416"/>
        <v>1600</v>
      </c>
      <c r="J386" s="68">
        <v>1200</v>
      </c>
      <c r="K386" s="68">
        <f t="shared" si="417"/>
        <v>2800</v>
      </c>
      <c r="L386" s="68"/>
      <c r="M386" s="68">
        <f t="shared" si="418"/>
        <v>2800</v>
      </c>
      <c r="N386" s="68"/>
      <c r="O386" s="68">
        <f t="shared" si="419"/>
        <v>2800</v>
      </c>
      <c r="P386" s="68"/>
      <c r="Q386" s="68">
        <f t="shared" si="420"/>
        <v>2800</v>
      </c>
      <c r="R386" s="68"/>
      <c r="S386" s="68">
        <f t="shared" si="421"/>
        <v>2800</v>
      </c>
      <c r="T386" s="68"/>
      <c r="U386" s="68">
        <f t="shared" si="422"/>
        <v>2800</v>
      </c>
      <c r="V386" s="68"/>
      <c r="W386" s="68">
        <f t="shared" si="423"/>
        <v>2800</v>
      </c>
      <c r="X386" s="68"/>
      <c r="Y386" s="68">
        <f t="shared" si="424"/>
        <v>2800</v>
      </c>
      <c r="Z386" s="68"/>
      <c r="AA386" s="68">
        <f t="shared" si="425"/>
        <v>2800</v>
      </c>
      <c r="AB386" s="68"/>
      <c r="AC386" s="68">
        <f t="shared" si="426"/>
        <v>2800</v>
      </c>
      <c r="AD386" s="68"/>
      <c r="AE386" s="68">
        <f t="shared" si="427"/>
        <v>2800</v>
      </c>
      <c r="AF386" s="68"/>
      <c r="AG386" s="68">
        <f t="shared" si="428"/>
        <v>2800</v>
      </c>
      <c r="AH386" s="68"/>
      <c r="AI386" s="68">
        <f t="shared" si="429"/>
        <v>2800</v>
      </c>
      <c r="AJ386" s="68"/>
      <c r="AK386" s="68">
        <f t="shared" si="430"/>
        <v>2800</v>
      </c>
      <c r="AL386" s="68"/>
      <c r="AM386" s="68">
        <f t="shared" si="431"/>
        <v>2800</v>
      </c>
    </row>
    <row r="387" spans="1:39" s="23" customFormat="1" ht="33.75">
      <c r="A387" s="93"/>
      <c r="B387" s="75"/>
      <c r="C387" s="46">
        <v>4360</v>
      </c>
      <c r="D387" s="37" t="s">
        <v>363</v>
      </c>
      <c r="E387" s="68">
        <v>1200</v>
      </c>
      <c r="F387" s="68"/>
      <c r="G387" s="68">
        <f t="shared" si="415"/>
        <v>1200</v>
      </c>
      <c r="H387" s="68"/>
      <c r="I387" s="68">
        <f t="shared" si="416"/>
        <v>1200</v>
      </c>
      <c r="J387" s="68"/>
      <c r="K387" s="68">
        <f t="shared" si="417"/>
        <v>1200</v>
      </c>
      <c r="L387" s="68"/>
      <c r="M387" s="68">
        <f t="shared" si="418"/>
        <v>1200</v>
      </c>
      <c r="N387" s="68"/>
      <c r="O387" s="68">
        <f t="shared" si="419"/>
        <v>1200</v>
      </c>
      <c r="P387" s="68"/>
      <c r="Q387" s="68">
        <f t="shared" si="420"/>
        <v>1200</v>
      </c>
      <c r="R387" s="68"/>
      <c r="S387" s="68">
        <f t="shared" si="421"/>
        <v>1200</v>
      </c>
      <c r="T387" s="68"/>
      <c r="U387" s="68">
        <f t="shared" si="422"/>
        <v>1200</v>
      </c>
      <c r="V387" s="68"/>
      <c r="W387" s="68">
        <f t="shared" si="423"/>
        <v>1200</v>
      </c>
      <c r="X387" s="68"/>
      <c r="Y387" s="68">
        <f t="shared" si="424"/>
        <v>1200</v>
      </c>
      <c r="Z387" s="68"/>
      <c r="AA387" s="68">
        <f t="shared" si="425"/>
        <v>1200</v>
      </c>
      <c r="AB387" s="68"/>
      <c r="AC387" s="68">
        <f t="shared" si="426"/>
        <v>1200</v>
      </c>
      <c r="AD387" s="68"/>
      <c r="AE387" s="68">
        <f t="shared" si="427"/>
        <v>1200</v>
      </c>
      <c r="AF387" s="68"/>
      <c r="AG387" s="68">
        <f t="shared" si="428"/>
        <v>1200</v>
      </c>
      <c r="AH387" s="68"/>
      <c r="AI387" s="68">
        <f t="shared" si="429"/>
        <v>1200</v>
      </c>
      <c r="AJ387" s="68"/>
      <c r="AK387" s="68">
        <f t="shared" si="430"/>
        <v>1200</v>
      </c>
      <c r="AL387" s="68"/>
      <c r="AM387" s="68">
        <f t="shared" si="431"/>
        <v>1200</v>
      </c>
    </row>
    <row r="388" spans="1:39" s="23" customFormat="1" ht="45">
      <c r="A388" s="93"/>
      <c r="B388" s="75"/>
      <c r="C388" s="46">
        <v>4370</v>
      </c>
      <c r="D388" s="37" t="s">
        <v>362</v>
      </c>
      <c r="E388" s="68">
        <v>4800</v>
      </c>
      <c r="F388" s="68"/>
      <c r="G388" s="68">
        <f t="shared" si="415"/>
        <v>4800</v>
      </c>
      <c r="H388" s="68"/>
      <c r="I388" s="68">
        <f t="shared" si="416"/>
        <v>4800</v>
      </c>
      <c r="J388" s="68">
        <v>-1200</v>
      </c>
      <c r="K388" s="68">
        <f t="shared" si="417"/>
        <v>3600</v>
      </c>
      <c r="L388" s="68"/>
      <c r="M388" s="68">
        <f t="shared" si="418"/>
        <v>3600</v>
      </c>
      <c r="N388" s="68"/>
      <c r="O388" s="68">
        <f t="shared" si="419"/>
        <v>3600</v>
      </c>
      <c r="P388" s="68"/>
      <c r="Q388" s="68">
        <f t="shared" si="420"/>
        <v>3600</v>
      </c>
      <c r="R388" s="68"/>
      <c r="S388" s="68">
        <f t="shared" si="421"/>
        <v>3600</v>
      </c>
      <c r="T388" s="68"/>
      <c r="U388" s="68">
        <f t="shared" si="422"/>
        <v>3600</v>
      </c>
      <c r="V388" s="68"/>
      <c r="W388" s="68">
        <f t="shared" si="423"/>
        <v>3600</v>
      </c>
      <c r="X388" s="68"/>
      <c r="Y388" s="68">
        <f t="shared" si="424"/>
        <v>3600</v>
      </c>
      <c r="Z388" s="68"/>
      <c r="AA388" s="68">
        <f t="shared" si="425"/>
        <v>3600</v>
      </c>
      <c r="AB388" s="68"/>
      <c r="AC388" s="68">
        <f t="shared" si="426"/>
        <v>3600</v>
      </c>
      <c r="AD388" s="68"/>
      <c r="AE388" s="68">
        <f t="shared" si="427"/>
        <v>3600</v>
      </c>
      <c r="AF388" s="68"/>
      <c r="AG388" s="68">
        <f t="shared" si="428"/>
        <v>3600</v>
      </c>
      <c r="AH388" s="68"/>
      <c r="AI388" s="68">
        <f t="shared" si="429"/>
        <v>3600</v>
      </c>
      <c r="AJ388" s="68"/>
      <c r="AK388" s="68">
        <f t="shared" si="430"/>
        <v>3600</v>
      </c>
      <c r="AL388" s="68"/>
      <c r="AM388" s="68">
        <f t="shared" si="431"/>
        <v>3600</v>
      </c>
    </row>
    <row r="389" spans="1:39" s="23" customFormat="1" ht="21" customHeight="1">
      <c r="A389" s="93"/>
      <c r="B389" s="75"/>
      <c r="C389" s="46">
        <v>4410</v>
      </c>
      <c r="D389" s="37" t="s">
        <v>89</v>
      </c>
      <c r="E389" s="68">
        <v>2000</v>
      </c>
      <c r="F389" s="68"/>
      <c r="G389" s="68">
        <f t="shared" si="415"/>
        <v>2000</v>
      </c>
      <c r="H389" s="68"/>
      <c r="I389" s="68">
        <f t="shared" si="416"/>
        <v>2000</v>
      </c>
      <c r="J389" s="68"/>
      <c r="K389" s="68">
        <f t="shared" si="417"/>
        <v>2000</v>
      </c>
      <c r="L389" s="68"/>
      <c r="M389" s="68">
        <f t="shared" si="418"/>
        <v>2000</v>
      </c>
      <c r="N389" s="68">
        <v>1000</v>
      </c>
      <c r="O389" s="68">
        <f t="shared" si="419"/>
        <v>3000</v>
      </c>
      <c r="P389" s="68"/>
      <c r="Q389" s="68">
        <f t="shared" si="420"/>
        <v>3000</v>
      </c>
      <c r="R389" s="68"/>
      <c r="S389" s="68">
        <f t="shared" si="421"/>
        <v>3000</v>
      </c>
      <c r="T389" s="68"/>
      <c r="U389" s="68">
        <f t="shared" si="422"/>
        <v>3000</v>
      </c>
      <c r="V389" s="68"/>
      <c r="W389" s="68">
        <f t="shared" si="423"/>
        <v>3000</v>
      </c>
      <c r="X389" s="68"/>
      <c r="Y389" s="68">
        <f t="shared" si="424"/>
        <v>3000</v>
      </c>
      <c r="Z389" s="68"/>
      <c r="AA389" s="68">
        <f t="shared" si="425"/>
        <v>3000</v>
      </c>
      <c r="AB389" s="68"/>
      <c r="AC389" s="68">
        <f t="shared" si="426"/>
        <v>3000</v>
      </c>
      <c r="AD389" s="68"/>
      <c r="AE389" s="68">
        <f t="shared" si="427"/>
        <v>3000</v>
      </c>
      <c r="AF389" s="68"/>
      <c r="AG389" s="68">
        <f t="shared" si="428"/>
        <v>3000</v>
      </c>
      <c r="AH389" s="68"/>
      <c r="AI389" s="68">
        <f t="shared" si="429"/>
        <v>3000</v>
      </c>
      <c r="AJ389" s="68"/>
      <c r="AK389" s="68">
        <f t="shared" si="430"/>
        <v>3000</v>
      </c>
      <c r="AL389" s="68"/>
      <c r="AM389" s="68">
        <f t="shared" si="431"/>
        <v>3000</v>
      </c>
    </row>
    <row r="390" spans="1:39" s="23" customFormat="1" ht="21" customHeight="1">
      <c r="A390" s="93"/>
      <c r="B390" s="75"/>
      <c r="C390" s="46">
        <v>4430</v>
      </c>
      <c r="D390" s="37" t="s">
        <v>93</v>
      </c>
      <c r="E390" s="68">
        <v>3000</v>
      </c>
      <c r="F390" s="68"/>
      <c r="G390" s="68">
        <f t="shared" si="415"/>
        <v>3000</v>
      </c>
      <c r="H390" s="68"/>
      <c r="I390" s="68">
        <f t="shared" si="416"/>
        <v>3000</v>
      </c>
      <c r="J390" s="68"/>
      <c r="K390" s="68">
        <f t="shared" si="417"/>
        <v>3000</v>
      </c>
      <c r="L390" s="68">
        <v>-284</v>
      </c>
      <c r="M390" s="68">
        <f t="shared" si="418"/>
        <v>2716</v>
      </c>
      <c r="N390" s="68"/>
      <c r="O390" s="68">
        <f t="shared" si="419"/>
        <v>2716</v>
      </c>
      <c r="P390" s="68"/>
      <c r="Q390" s="68">
        <f t="shared" si="420"/>
        <v>2716</v>
      </c>
      <c r="R390" s="68"/>
      <c r="S390" s="68">
        <f t="shared" si="421"/>
        <v>2716</v>
      </c>
      <c r="T390" s="68"/>
      <c r="U390" s="68">
        <f t="shared" si="422"/>
        <v>2716</v>
      </c>
      <c r="V390" s="68"/>
      <c r="W390" s="68">
        <f t="shared" si="423"/>
        <v>2716</v>
      </c>
      <c r="X390" s="68"/>
      <c r="Y390" s="68">
        <f t="shared" si="424"/>
        <v>2716</v>
      </c>
      <c r="Z390" s="68"/>
      <c r="AA390" s="68">
        <f t="shared" si="425"/>
        <v>2716</v>
      </c>
      <c r="AB390" s="68"/>
      <c r="AC390" s="68">
        <f t="shared" si="426"/>
        <v>2716</v>
      </c>
      <c r="AD390" s="68"/>
      <c r="AE390" s="68">
        <f t="shared" si="427"/>
        <v>2716</v>
      </c>
      <c r="AF390" s="68"/>
      <c r="AG390" s="68">
        <f t="shared" si="428"/>
        <v>2716</v>
      </c>
      <c r="AH390" s="68"/>
      <c r="AI390" s="68">
        <f t="shared" si="429"/>
        <v>2716</v>
      </c>
      <c r="AJ390" s="68"/>
      <c r="AK390" s="68">
        <f t="shared" si="430"/>
        <v>2716</v>
      </c>
      <c r="AL390" s="68"/>
      <c r="AM390" s="68">
        <f t="shared" si="431"/>
        <v>2716</v>
      </c>
    </row>
    <row r="391" spans="1:39" s="23" customFormat="1" ht="22.5">
      <c r="A391" s="93"/>
      <c r="B391" s="75"/>
      <c r="C391" s="46">
        <v>4440</v>
      </c>
      <c r="D391" s="12" t="s">
        <v>87</v>
      </c>
      <c r="E391" s="68">
        <v>4875</v>
      </c>
      <c r="F391" s="68"/>
      <c r="G391" s="68">
        <f t="shared" si="415"/>
        <v>4875</v>
      </c>
      <c r="H391" s="68"/>
      <c r="I391" s="68">
        <f t="shared" si="416"/>
        <v>4875</v>
      </c>
      <c r="J391" s="68"/>
      <c r="K391" s="68">
        <f t="shared" si="417"/>
        <v>4875</v>
      </c>
      <c r="L391" s="68"/>
      <c r="M391" s="68">
        <f t="shared" si="418"/>
        <v>4875</v>
      </c>
      <c r="N391" s="68"/>
      <c r="O391" s="68">
        <f t="shared" si="419"/>
        <v>4875</v>
      </c>
      <c r="P391" s="68"/>
      <c r="Q391" s="68">
        <f t="shared" si="420"/>
        <v>4875</v>
      </c>
      <c r="R391" s="68">
        <v>365</v>
      </c>
      <c r="S391" s="68">
        <f t="shared" si="421"/>
        <v>5240</v>
      </c>
      <c r="T391" s="68"/>
      <c r="U391" s="68">
        <f t="shared" si="422"/>
        <v>5240</v>
      </c>
      <c r="V391" s="68"/>
      <c r="W391" s="68">
        <f t="shared" si="423"/>
        <v>5240</v>
      </c>
      <c r="X391" s="68"/>
      <c r="Y391" s="68">
        <f t="shared" si="424"/>
        <v>5240</v>
      </c>
      <c r="Z391" s="68"/>
      <c r="AA391" s="68">
        <f t="shared" si="425"/>
        <v>5240</v>
      </c>
      <c r="AB391" s="68"/>
      <c r="AC391" s="68">
        <f t="shared" si="426"/>
        <v>5240</v>
      </c>
      <c r="AD391" s="68"/>
      <c r="AE391" s="68">
        <f t="shared" si="427"/>
        <v>5240</v>
      </c>
      <c r="AF391" s="68"/>
      <c r="AG391" s="68">
        <f t="shared" si="428"/>
        <v>5240</v>
      </c>
      <c r="AH391" s="68"/>
      <c r="AI391" s="68">
        <f t="shared" si="429"/>
        <v>5240</v>
      </c>
      <c r="AJ391" s="68"/>
      <c r="AK391" s="68">
        <f t="shared" si="430"/>
        <v>5240</v>
      </c>
      <c r="AL391" s="68"/>
      <c r="AM391" s="68">
        <f t="shared" si="431"/>
        <v>5240</v>
      </c>
    </row>
    <row r="392" spans="1:39" s="23" customFormat="1" ht="23.25" customHeight="1">
      <c r="A392" s="93"/>
      <c r="B392" s="75"/>
      <c r="C392" s="46">
        <v>4580</v>
      </c>
      <c r="D392" s="12" t="s">
        <v>11</v>
      </c>
      <c r="E392" s="68"/>
      <c r="F392" s="68"/>
      <c r="G392" s="68"/>
      <c r="H392" s="68"/>
      <c r="I392" s="68"/>
      <c r="J392" s="68"/>
      <c r="K392" s="68">
        <v>0</v>
      </c>
      <c r="L392" s="68">
        <v>284</v>
      </c>
      <c r="M392" s="68">
        <f t="shared" si="418"/>
        <v>284</v>
      </c>
      <c r="N392" s="68"/>
      <c r="O392" s="68">
        <f t="shared" si="419"/>
        <v>284</v>
      </c>
      <c r="P392" s="68"/>
      <c r="Q392" s="68">
        <f t="shared" si="420"/>
        <v>284</v>
      </c>
      <c r="R392" s="68"/>
      <c r="S392" s="68">
        <f t="shared" si="421"/>
        <v>284</v>
      </c>
      <c r="T392" s="68"/>
      <c r="U392" s="68">
        <f t="shared" si="422"/>
        <v>284</v>
      </c>
      <c r="V392" s="68"/>
      <c r="W392" s="68">
        <f t="shared" si="423"/>
        <v>284</v>
      </c>
      <c r="X392" s="68"/>
      <c r="Y392" s="68">
        <f t="shared" si="424"/>
        <v>284</v>
      </c>
      <c r="Z392" s="68"/>
      <c r="AA392" s="68">
        <f t="shared" si="425"/>
        <v>284</v>
      </c>
      <c r="AB392" s="68"/>
      <c r="AC392" s="68">
        <f t="shared" si="426"/>
        <v>284</v>
      </c>
      <c r="AD392" s="68"/>
      <c r="AE392" s="68">
        <f t="shared" si="427"/>
        <v>284</v>
      </c>
      <c r="AF392" s="68"/>
      <c r="AG392" s="68">
        <f t="shared" si="428"/>
        <v>284</v>
      </c>
      <c r="AH392" s="68"/>
      <c r="AI392" s="68">
        <f t="shared" si="429"/>
        <v>284</v>
      </c>
      <c r="AJ392" s="68"/>
      <c r="AK392" s="68">
        <f t="shared" si="430"/>
        <v>284</v>
      </c>
      <c r="AL392" s="68"/>
      <c r="AM392" s="68">
        <f t="shared" si="431"/>
        <v>284</v>
      </c>
    </row>
    <row r="393" spans="1:39" s="23" customFormat="1" ht="22.5">
      <c r="A393" s="93"/>
      <c r="B393" s="75"/>
      <c r="C393" s="46">
        <v>4610</v>
      </c>
      <c r="D393" s="37" t="s">
        <v>180</v>
      </c>
      <c r="E393" s="68">
        <v>1000</v>
      </c>
      <c r="F393" s="68"/>
      <c r="G393" s="68">
        <f t="shared" si="415"/>
        <v>1000</v>
      </c>
      <c r="H393" s="68"/>
      <c r="I393" s="68">
        <f t="shared" si="416"/>
        <v>1000</v>
      </c>
      <c r="J393" s="68"/>
      <c r="K393" s="68">
        <f t="shared" si="417"/>
        <v>1000</v>
      </c>
      <c r="L393" s="68"/>
      <c r="M393" s="68">
        <f t="shared" si="418"/>
        <v>1000</v>
      </c>
      <c r="N393" s="68"/>
      <c r="O393" s="68">
        <f t="shared" si="419"/>
        <v>1000</v>
      </c>
      <c r="P393" s="68"/>
      <c r="Q393" s="68">
        <f t="shared" si="420"/>
        <v>1000</v>
      </c>
      <c r="R393" s="68"/>
      <c r="S393" s="68">
        <f t="shared" si="421"/>
        <v>1000</v>
      </c>
      <c r="T393" s="68"/>
      <c r="U393" s="68">
        <f t="shared" si="422"/>
        <v>1000</v>
      </c>
      <c r="V393" s="68"/>
      <c r="W393" s="68">
        <f t="shared" si="423"/>
        <v>1000</v>
      </c>
      <c r="X393" s="68"/>
      <c r="Y393" s="68">
        <f t="shared" si="424"/>
        <v>1000</v>
      </c>
      <c r="Z393" s="68"/>
      <c r="AA393" s="68">
        <f t="shared" si="425"/>
        <v>1000</v>
      </c>
      <c r="AB393" s="68"/>
      <c r="AC393" s="68">
        <f t="shared" si="426"/>
        <v>1000</v>
      </c>
      <c r="AD393" s="68"/>
      <c r="AE393" s="68">
        <f t="shared" si="427"/>
        <v>1000</v>
      </c>
      <c r="AF393" s="68"/>
      <c r="AG393" s="68">
        <f t="shared" si="428"/>
        <v>1000</v>
      </c>
      <c r="AH393" s="68"/>
      <c r="AI393" s="68">
        <f t="shared" si="429"/>
        <v>1000</v>
      </c>
      <c r="AJ393" s="68"/>
      <c r="AK393" s="68">
        <f t="shared" si="430"/>
        <v>1000</v>
      </c>
      <c r="AL393" s="68"/>
      <c r="AM393" s="68">
        <f t="shared" si="431"/>
        <v>1000</v>
      </c>
    </row>
    <row r="394" spans="1:39" s="23" customFormat="1" ht="22.5">
      <c r="A394" s="93"/>
      <c r="B394" s="75"/>
      <c r="C394" s="46">
        <v>4700</v>
      </c>
      <c r="D394" s="37" t="s">
        <v>234</v>
      </c>
      <c r="E394" s="68">
        <v>3000</v>
      </c>
      <c r="F394" s="68"/>
      <c r="G394" s="68">
        <f t="shared" si="415"/>
        <v>3000</v>
      </c>
      <c r="H394" s="68"/>
      <c r="I394" s="68">
        <f t="shared" si="416"/>
        <v>3000</v>
      </c>
      <c r="J394" s="68"/>
      <c r="K394" s="68">
        <f t="shared" si="417"/>
        <v>3000</v>
      </c>
      <c r="L394" s="68"/>
      <c r="M394" s="68">
        <f t="shared" si="418"/>
        <v>3000</v>
      </c>
      <c r="N394" s="68"/>
      <c r="O394" s="68">
        <f t="shared" si="419"/>
        <v>3000</v>
      </c>
      <c r="P394" s="68"/>
      <c r="Q394" s="68">
        <f t="shared" si="420"/>
        <v>3000</v>
      </c>
      <c r="R394" s="68"/>
      <c r="S394" s="68">
        <f t="shared" si="421"/>
        <v>3000</v>
      </c>
      <c r="T394" s="68"/>
      <c r="U394" s="68">
        <f t="shared" si="422"/>
        <v>3000</v>
      </c>
      <c r="V394" s="68"/>
      <c r="W394" s="68">
        <f t="shared" si="423"/>
        <v>3000</v>
      </c>
      <c r="X394" s="68"/>
      <c r="Y394" s="68">
        <f t="shared" si="424"/>
        <v>3000</v>
      </c>
      <c r="Z394" s="68"/>
      <c r="AA394" s="68">
        <f t="shared" si="425"/>
        <v>3000</v>
      </c>
      <c r="AB394" s="68"/>
      <c r="AC394" s="68">
        <f t="shared" si="426"/>
        <v>3000</v>
      </c>
      <c r="AD394" s="68"/>
      <c r="AE394" s="68">
        <f t="shared" si="427"/>
        <v>3000</v>
      </c>
      <c r="AF394" s="68"/>
      <c r="AG394" s="68">
        <f t="shared" si="428"/>
        <v>3000</v>
      </c>
      <c r="AH394" s="68"/>
      <c r="AI394" s="68">
        <f t="shared" si="429"/>
        <v>3000</v>
      </c>
      <c r="AJ394" s="68"/>
      <c r="AK394" s="68">
        <f t="shared" si="430"/>
        <v>3000</v>
      </c>
      <c r="AL394" s="68"/>
      <c r="AM394" s="68">
        <f t="shared" si="431"/>
        <v>3000</v>
      </c>
    </row>
    <row r="395" spans="1:39" s="23" customFormat="1" ht="28.5" customHeight="1">
      <c r="A395" s="93"/>
      <c r="B395" s="75"/>
      <c r="C395" s="46">
        <v>4740</v>
      </c>
      <c r="D395" s="37" t="s">
        <v>249</v>
      </c>
      <c r="E395" s="68">
        <v>2000</v>
      </c>
      <c r="F395" s="68"/>
      <c r="G395" s="68">
        <f t="shared" si="415"/>
        <v>2000</v>
      </c>
      <c r="H395" s="68"/>
      <c r="I395" s="68">
        <f t="shared" si="416"/>
        <v>2000</v>
      </c>
      <c r="J395" s="68"/>
      <c r="K395" s="68">
        <f t="shared" si="417"/>
        <v>2000</v>
      </c>
      <c r="L395" s="68"/>
      <c r="M395" s="68">
        <f t="shared" si="418"/>
        <v>2000</v>
      </c>
      <c r="N395" s="68"/>
      <c r="O395" s="68">
        <f t="shared" si="419"/>
        <v>2000</v>
      </c>
      <c r="P395" s="68"/>
      <c r="Q395" s="68">
        <f t="shared" si="420"/>
        <v>2000</v>
      </c>
      <c r="R395" s="68"/>
      <c r="S395" s="68">
        <f t="shared" si="421"/>
        <v>2000</v>
      </c>
      <c r="T395" s="68"/>
      <c r="U395" s="68">
        <f t="shared" si="422"/>
        <v>2000</v>
      </c>
      <c r="V395" s="68"/>
      <c r="W395" s="68">
        <f t="shared" si="423"/>
        <v>2000</v>
      </c>
      <c r="X395" s="68"/>
      <c r="Y395" s="68">
        <f t="shared" si="424"/>
        <v>2000</v>
      </c>
      <c r="Z395" s="68"/>
      <c r="AA395" s="68">
        <f t="shared" si="425"/>
        <v>2000</v>
      </c>
      <c r="AB395" s="68"/>
      <c r="AC395" s="68">
        <f t="shared" si="426"/>
        <v>2000</v>
      </c>
      <c r="AD395" s="68"/>
      <c r="AE395" s="68">
        <f t="shared" si="427"/>
        <v>2000</v>
      </c>
      <c r="AF395" s="68"/>
      <c r="AG395" s="68">
        <f t="shared" si="428"/>
        <v>2000</v>
      </c>
      <c r="AH395" s="68"/>
      <c r="AI395" s="68">
        <f t="shared" si="429"/>
        <v>2000</v>
      </c>
      <c r="AJ395" s="68"/>
      <c r="AK395" s="68">
        <f t="shared" si="430"/>
        <v>2000</v>
      </c>
      <c r="AL395" s="68"/>
      <c r="AM395" s="68">
        <f t="shared" si="431"/>
        <v>2000</v>
      </c>
    </row>
    <row r="396" spans="1:39" s="23" customFormat="1" ht="28.5" customHeight="1">
      <c r="A396" s="93"/>
      <c r="B396" s="75"/>
      <c r="C396" s="46">
        <v>4750</v>
      </c>
      <c r="D396" s="37" t="s">
        <v>237</v>
      </c>
      <c r="E396" s="68">
        <v>5000</v>
      </c>
      <c r="F396" s="68"/>
      <c r="G396" s="68">
        <f t="shared" si="415"/>
        <v>5000</v>
      </c>
      <c r="H396" s="68"/>
      <c r="I396" s="68">
        <f t="shared" si="416"/>
        <v>5000</v>
      </c>
      <c r="J396" s="68"/>
      <c r="K396" s="68">
        <f t="shared" si="417"/>
        <v>5000</v>
      </c>
      <c r="L396" s="68"/>
      <c r="M396" s="68">
        <f t="shared" si="418"/>
        <v>5000</v>
      </c>
      <c r="N396" s="68">
        <v>-1000</v>
      </c>
      <c r="O396" s="68">
        <f t="shared" si="419"/>
        <v>4000</v>
      </c>
      <c r="P396" s="68"/>
      <c r="Q396" s="68">
        <f t="shared" si="420"/>
        <v>4000</v>
      </c>
      <c r="R396" s="68"/>
      <c r="S396" s="68">
        <f t="shared" si="421"/>
        <v>4000</v>
      </c>
      <c r="T396" s="68"/>
      <c r="U396" s="68">
        <f t="shared" si="422"/>
        <v>4000</v>
      </c>
      <c r="V396" s="68"/>
      <c r="W396" s="68">
        <f t="shared" si="423"/>
        <v>4000</v>
      </c>
      <c r="X396" s="68"/>
      <c r="Y396" s="68">
        <f t="shared" si="424"/>
        <v>4000</v>
      </c>
      <c r="Z396" s="68"/>
      <c r="AA396" s="68">
        <f t="shared" si="425"/>
        <v>4000</v>
      </c>
      <c r="AB396" s="68"/>
      <c r="AC396" s="68">
        <f t="shared" si="426"/>
        <v>4000</v>
      </c>
      <c r="AD396" s="68"/>
      <c r="AE396" s="68">
        <f t="shared" si="427"/>
        <v>4000</v>
      </c>
      <c r="AF396" s="68"/>
      <c r="AG396" s="68">
        <f t="shared" si="428"/>
        <v>4000</v>
      </c>
      <c r="AH396" s="68"/>
      <c r="AI396" s="68">
        <f t="shared" si="429"/>
        <v>4000</v>
      </c>
      <c r="AJ396" s="68"/>
      <c r="AK396" s="68">
        <f t="shared" si="430"/>
        <v>4000</v>
      </c>
      <c r="AL396" s="68"/>
      <c r="AM396" s="68">
        <f t="shared" si="431"/>
        <v>4000</v>
      </c>
    </row>
    <row r="397" spans="1:39" s="23" customFormat="1" ht="67.5">
      <c r="A397" s="64"/>
      <c r="B397" s="84">
        <v>85213</v>
      </c>
      <c r="C397" s="83"/>
      <c r="D397" s="74" t="s">
        <v>250</v>
      </c>
      <c r="E397" s="78">
        <f aca="true" t="shared" si="432" ref="E397:AM397">SUM(E398)</f>
        <v>49134</v>
      </c>
      <c r="F397" s="78">
        <f t="shared" si="432"/>
        <v>0</v>
      </c>
      <c r="G397" s="78">
        <f t="shared" si="432"/>
        <v>49134</v>
      </c>
      <c r="H397" s="78">
        <f t="shared" si="432"/>
        <v>0</v>
      </c>
      <c r="I397" s="78">
        <f t="shared" si="432"/>
        <v>49134</v>
      </c>
      <c r="J397" s="78">
        <f t="shared" si="432"/>
        <v>-73</v>
      </c>
      <c r="K397" s="78">
        <f t="shared" si="432"/>
        <v>49061</v>
      </c>
      <c r="L397" s="78">
        <f t="shared" si="432"/>
        <v>0</v>
      </c>
      <c r="M397" s="78">
        <f t="shared" si="432"/>
        <v>49061</v>
      </c>
      <c r="N397" s="78">
        <f t="shared" si="432"/>
        <v>0</v>
      </c>
      <c r="O397" s="78">
        <f t="shared" si="432"/>
        <v>49061</v>
      </c>
      <c r="P397" s="78">
        <f t="shared" si="432"/>
        <v>0</v>
      </c>
      <c r="Q397" s="78">
        <f t="shared" si="432"/>
        <v>49061</v>
      </c>
      <c r="R397" s="78">
        <f t="shared" si="432"/>
        <v>0</v>
      </c>
      <c r="S397" s="78">
        <f t="shared" si="432"/>
        <v>49061</v>
      </c>
      <c r="T397" s="78">
        <f t="shared" si="432"/>
        <v>0</v>
      </c>
      <c r="U397" s="78">
        <f t="shared" si="432"/>
        <v>49061</v>
      </c>
      <c r="V397" s="78">
        <f t="shared" si="432"/>
        <v>0</v>
      </c>
      <c r="W397" s="78">
        <f t="shared" si="432"/>
        <v>49061</v>
      </c>
      <c r="X397" s="78">
        <f t="shared" si="432"/>
        <v>3673</v>
      </c>
      <c r="Y397" s="78">
        <f t="shared" si="432"/>
        <v>52734</v>
      </c>
      <c r="Z397" s="78">
        <f t="shared" si="432"/>
        <v>0</v>
      </c>
      <c r="AA397" s="78">
        <f t="shared" si="432"/>
        <v>52734</v>
      </c>
      <c r="AB397" s="78">
        <f t="shared" si="432"/>
        <v>0</v>
      </c>
      <c r="AC397" s="78">
        <f t="shared" si="432"/>
        <v>52734</v>
      </c>
      <c r="AD397" s="78">
        <f t="shared" si="432"/>
        <v>0</v>
      </c>
      <c r="AE397" s="78">
        <f t="shared" si="432"/>
        <v>52734</v>
      </c>
      <c r="AF397" s="78">
        <f t="shared" si="432"/>
        <v>0</v>
      </c>
      <c r="AG397" s="78">
        <f t="shared" si="432"/>
        <v>52734</v>
      </c>
      <c r="AH397" s="78">
        <f t="shared" si="432"/>
        <v>0</v>
      </c>
      <c r="AI397" s="78">
        <f t="shared" si="432"/>
        <v>52734</v>
      </c>
      <c r="AJ397" s="78">
        <f t="shared" si="432"/>
        <v>6266</v>
      </c>
      <c r="AK397" s="78">
        <f t="shared" si="432"/>
        <v>59000</v>
      </c>
      <c r="AL397" s="78">
        <f t="shared" si="432"/>
        <v>1000</v>
      </c>
      <c r="AM397" s="78">
        <f t="shared" si="432"/>
        <v>60000</v>
      </c>
    </row>
    <row r="398" spans="1:42" s="23" customFormat="1" ht="21" customHeight="1">
      <c r="A398" s="64"/>
      <c r="B398" s="84"/>
      <c r="C398" s="83">
        <v>4130</v>
      </c>
      <c r="D398" s="37" t="s">
        <v>119</v>
      </c>
      <c r="E398" s="68">
        <f>12000+37134</f>
        <v>49134</v>
      </c>
      <c r="F398" s="68"/>
      <c r="G398" s="68">
        <f>SUM(E398:F398)</f>
        <v>49134</v>
      </c>
      <c r="H398" s="68"/>
      <c r="I398" s="68">
        <f>SUM(G398:H398)</f>
        <v>49134</v>
      </c>
      <c r="J398" s="68">
        <v>-73</v>
      </c>
      <c r="K398" s="68">
        <f>SUM(I398:J398)</f>
        <v>49061</v>
      </c>
      <c r="L398" s="68"/>
      <c r="M398" s="68">
        <f>SUM(K398:L398)</f>
        <v>49061</v>
      </c>
      <c r="N398" s="68"/>
      <c r="O398" s="68">
        <f>SUM(M398:N398)</f>
        <v>49061</v>
      </c>
      <c r="P398" s="68"/>
      <c r="Q398" s="68">
        <f>SUM(O398:P398)</f>
        <v>49061</v>
      </c>
      <c r="R398" s="68"/>
      <c r="S398" s="68">
        <f>SUM(Q398:R398)</f>
        <v>49061</v>
      </c>
      <c r="T398" s="68"/>
      <c r="U398" s="68">
        <f>SUM(S398:T398)</f>
        <v>49061</v>
      </c>
      <c r="V398" s="68"/>
      <c r="W398" s="68">
        <f>SUM(U398:V398)</f>
        <v>49061</v>
      </c>
      <c r="X398" s="68">
        <v>3673</v>
      </c>
      <c r="Y398" s="68">
        <f>SUM(W398:X398)</f>
        <v>52734</v>
      </c>
      <c r="Z398" s="68"/>
      <c r="AA398" s="68">
        <f>SUM(Y398:Z398)</f>
        <v>52734</v>
      </c>
      <c r="AB398" s="68"/>
      <c r="AC398" s="68">
        <f>SUM(AA398:AB398)</f>
        <v>52734</v>
      </c>
      <c r="AD398" s="68"/>
      <c r="AE398" s="68">
        <f>SUM(AC398:AD398)</f>
        <v>52734</v>
      </c>
      <c r="AF398" s="68"/>
      <c r="AG398" s="68">
        <f>SUM(AE398:AF398)</f>
        <v>52734</v>
      </c>
      <c r="AH398" s="68"/>
      <c r="AI398" s="68">
        <f>SUM(AG398:AH398)</f>
        <v>52734</v>
      </c>
      <c r="AJ398" s="68">
        <f>-3534+1400+8400</f>
        <v>6266</v>
      </c>
      <c r="AK398" s="68">
        <f>SUM(AI398:AJ398)</f>
        <v>59000</v>
      </c>
      <c r="AL398" s="68">
        <v>1000</v>
      </c>
      <c r="AM398" s="68">
        <f>SUM(AK398:AL398)</f>
        <v>60000</v>
      </c>
      <c r="AN398" s="113"/>
      <c r="AO398" s="113"/>
      <c r="AP398" s="113"/>
    </row>
    <row r="399" spans="1:39" s="23" customFormat="1" ht="22.5">
      <c r="A399" s="64"/>
      <c r="B399" s="79">
        <v>85214</v>
      </c>
      <c r="C399" s="83"/>
      <c r="D399" s="37" t="s">
        <v>202</v>
      </c>
      <c r="E399" s="78">
        <f aca="true" t="shared" si="433" ref="E399:W399">SUM(E400:E402)</f>
        <v>1489695</v>
      </c>
      <c r="F399" s="78">
        <f t="shared" si="433"/>
        <v>0</v>
      </c>
      <c r="G399" s="78">
        <f t="shared" si="433"/>
        <v>1489695</v>
      </c>
      <c r="H399" s="78">
        <f t="shared" si="433"/>
        <v>0</v>
      </c>
      <c r="I399" s="78">
        <f t="shared" si="433"/>
        <v>1489695</v>
      </c>
      <c r="J399" s="78">
        <f t="shared" si="433"/>
        <v>0</v>
      </c>
      <c r="K399" s="78">
        <f t="shared" si="433"/>
        <v>1489695</v>
      </c>
      <c r="L399" s="78">
        <f t="shared" si="433"/>
        <v>0</v>
      </c>
      <c r="M399" s="78">
        <f t="shared" si="433"/>
        <v>1489695</v>
      </c>
      <c r="N399" s="78">
        <f t="shared" si="433"/>
        <v>0</v>
      </c>
      <c r="O399" s="78">
        <f t="shared" si="433"/>
        <v>1489695</v>
      </c>
      <c r="P399" s="78">
        <f t="shared" si="433"/>
        <v>0</v>
      </c>
      <c r="Q399" s="78">
        <f t="shared" si="433"/>
        <v>1489695</v>
      </c>
      <c r="R399" s="78">
        <f t="shared" si="433"/>
        <v>0</v>
      </c>
      <c r="S399" s="78">
        <f t="shared" si="433"/>
        <v>1489695</v>
      </c>
      <c r="T399" s="78">
        <f t="shared" si="433"/>
        <v>0</v>
      </c>
      <c r="U399" s="78">
        <f t="shared" si="433"/>
        <v>1489695</v>
      </c>
      <c r="V399" s="78">
        <f t="shared" si="433"/>
        <v>0</v>
      </c>
      <c r="W399" s="78">
        <f t="shared" si="433"/>
        <v>1489695</v>
      </c>
      <c r="X399" s="78">
        <f aca="true" t="shared" si="434" ref="X399:AC399">SUM(X400:X402)</f>
        <v>73405</v>
      </c>
      <c r="Y399" s="78">
        <f t="shared" si="434"/>
        <v>1563100</v>
      </c>
      <c r="Z399" s="78">
        <f t="shared" si="434"/>
        <v>0</v>
      </c>
      <c r="AA399" s="78">
        <f t="shared" si="434"/>
        <v>1563100</v>
      </c>
      <c r="AB399" s="78">
        <f t="shared" si="434"/>
        <v>0</v>
      </c>
      <c r="AC399" s="78">
        <f t="shared" si="434"/>
        <v>1563100</v>
      </c>
      <c r="AD399" s="78">
        <f aca="true" t="shared" si="435" ref="AD399:AI399">SUM(AD400:AD402)</f>
        <v>168159</v>
      </c>
      <c r="AE399" s="78">
        <f t="shared" si="435"/>
        <v>1731259</v>
      </c>
      <c r="AF399" s="78">
        <f t="shared" si="435"/>
        <v>0</v>
      </c>
      <c r="AG399" s="78">
        <f t="shared" si="435"/>
        <v>1731259</v>
      </c>
      <c r="AH399" s="78">
        <f t="shared" si="435"/>
        <v>0</v>
      </c>
      <c r="AI399" s="78">
        <f t="shared" si="435"/>
        <v>1731259</v>
      </c>
      <c r="AJ399" s="78">
        <f>SUM(AJ400:AJ402)</f>
        <v>0</v>
      </c>
      <c r="AK399" s="78">
        <f>SUM(AK400:AK402)</f>
        <v>1731259</v>
      </c>
      <c r="AL399" s="78">
        <f>SUM(AL400:AL402)</f>
        <v>246794</v>
      </c>
      <c r="AM399" s="78">
        <f>SUM(AM400:AM402)</f>
        <v>1978053</v>
      </c>
    </row>
    <row r="400" spans="1:39" s="163" customFormat="1" ht="21" customHeight="1">
      <c r="A400" s="64"/>
      <c r="B400" s="79"/>
      <c r="C400" s="83">
        <v>3110</v>
      </c>
      <c r="D400" s="37" t="s">
        <v>111</v>
      </c>
      <c r="E400" s="78">
        <f>539695+949000</f>
        <v>1488695</v>
      </c>
      <c r="F400" s="78"/>
      <c r="G400" s="78">
        <f>SUM(E400:F400)</f>
        <v>1488695</v>
      </c>
      <c r="H400" s="78"/>
      <c r="I400" s="78">
        <f>SUM(G400:H400)</f>
        <v>1488695</v>
      </c>
      <c r="J400" s="78"/>
      <c r="K400" s="78">
        <f>SUM(I400:J400)</f>
        <v>1488695</v>
      </c>
      <c r="L400" s="78"/>
      <c r="M400" s="78">
        <f>SUM(K400:L400)</f>
        <v>1488695</v>
      </c>
      <c r="N400" s="78"/>
      <c r="O400" s="78">
        <f>SUM(M400:N400)</f>
        <v>1488695</v>
      </c>
      <c r="P400" s="78"/>
      <c r="Q400" s="78">
        <f>SUM(O400:P400)</f>
        <v>1488695</v>
      </c>
      <c r="R400" s="78"/>
      <c r="S400" s="78">
        <f>SUM(Q400:R400)</f>
        <v>1488695</v>
      </c>
      <c r="T400" s="78"/>
      <c r="U400" s="78">
        <f>SUM(S400:T400)</f>
        <v>1488695</v>
      </c>
      <c r="V400" s="78"/>
      <c r="W400" s="78">
        <f>SUM(U400:V400)</f>
        <v>1488695</v>
      </c>
      <c r="X400" s="78">
        <v>73405</v>
      </c>
      <c r="Y400" s="78">
        <f>SUM(W400:X400)</f>
        <v>1562100</v>
      </c>
      <c r="Z400" s="78"/>
      <c r="AA400" s="78">
        <f>SUM(Y400:Z400)</f>
        <v>1562100</v>
      </c>
      <c r="AB400" s="78"/>
      <c r="AC400" s="78">
        <f>SUM(AA400:AB400)</f>
        <v>1562100</v>
      </c>
      <c r="AD400" s="78">
        <f>118159+50000</f>
        <v>168159</v>
      </c>
      <c r="AE400" s="78">
        <f>SUM(AC400:AD400)</f>
        <v>1730259</v>
      </c>
      <c r="AF400" s="78">
        <v>-40716</v>
      </c>
      <c r="AG400" s="78">
        <f>SUM(AE400:AF400)</f>
        <v>1689543</v>
      </c>
      <c r="AH400" s="78"/>
      <c r="AI400" s="78">
        <f>SUM(AG400:AH400)</f>
        <v>1689543</v>
      </c>
      <c r="AJ400" s="78">
        <f>1000</f>
        <v>1000</v>
      </c>
      <c r="AK400" s="78">
        <f>SUM(AI400:AJ400)</f>
        <v>1690543</v>
      </c>
      <c r="AL400" s="78">
        <f>123285+92919+30590</f>
        <v>246794</v>
      </c>
      <c r="AM400" s="78">
        <f>SUM(AK400:AL400)</f>
        <v>1937337</v>
      </c>
    </row>
    <row r="401" spans="1:39" s="23" customFormat="1" ht="21" customHeight="1">
      <c r="A401" s="64"/>
      <c r="B401" s="79"/>
      <c r="C401" s="83">
        <v>3119</v>
      </c>
      <c r="D401" s="37" t="s">
        <v>111</v>
      </c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>
        <v>0</v>
      </c>
      <c r="AF401" s="78">
        <v>40716</v>
      </c>
      <c r="AG401" s="78">
        <f>SUM(AE401:AF401)</f>
        <v>40716</v>
      </c>
      <c r="AH401" s="78"/>
      <c r="AI401" s="78">
        <f>SUM(AG401:AH401)</f>
        <v>40716</v>
      </c>
      <c r="AJ401" s="78"/>
      <c r="AK401" s="78">
        <f>SUM(AI401:AJ401)</f>
        <v>40716</v>
      </c>
      <c r="AL401" s="78"/>
      <c r="AM401" s="78">
        <f>SUM(AK401:AL401)</f>
        <v>40716</v>
      </c>
    </row>
    <row r="402" spans="1:42" s="23" customFormat="1" ht="21" customHeight="1">
      <c r="A402" s="64"/>
      <c r="B402" s="79"/>
      <c r="C402" s="46">
        <v>4110</v>
      </c>
      <c r="D402" s="12" t="s">
        <v>85</v>
      </c>
      <c r="E402" s="78">
        <v>1000</v>
      </c>
      <c r="F402" s="78"/>
      <c r="G402" s="78">
        <f>SUM(E402:F402)</f>
        <v>1000</v>
      </c>
      <c r="H402" s="78"/>
      <c r="I402" s="78">
        <f>SUM(G402:H402)</f>
        <v>1000</v>
      </c>
      <c r="J402" s="78"/>
      <c r="K402" s="78">
        <f>SUM(I402:J402)</f>
        <v>1000</v>
      </c>
      <c r="L402" s="78"/>
      <c r="M402" s="78">
        <f>SUM(K402:L402)</f>
        <v>1000</v>
      </c>
      <c r="N402" s="78"/>
      <c r="O402" s="78">
        <f>SUM(M402:N402)</f>
        <v>1000</v>
      </c>
      <c r="P402" s="78"/>
      <c r="Q402" s="78">
        <f>SUM(O402:P402)</f>
        <v>1000</v>
      </c>
      <c r="R402" s="78"/>
      <c r="S402" s="78">
        <f>SUM(Q402:R402)</f>
        <v>1000</v>
      </c>
      <c r="T402" s="78"/>
      <c r="U402" s="78">
        <f>SUM(S402:T402)</f>
        <v>1000</v>
      </c>
      <c r="V402" s="78"/>
      <c r="W402" s="78">
        <f>SUM(U402:V402)</f>
        <v>1000</v>
      </c>
      <c r="X402" s="78"/>
      <c r="Y402" s="78">
        <f>SUM(W402:X402)</f>
        <v>1000</v>
      </c>
      <c r="Z402" s="78"/>
      <c r="AA402" s="78">
        <f>SUM(Y402:Z402)</f>
        <v>1000</v>
      </c>
      <c r="AB402" s="78"/>
      <c r="AC402" s="78">
        <f>SUM(AA402:AB402)</f>
        <v>1000</v>
      </c>
      <c r="AD402" s="78"/>
      <c r="AE402" s="78">
        <f>SUM(AC402:AD402)</f>
        <v>1000</v>
      </c>
      <c r="AF402" s="78"/>
      <c r="AG402" s="78">
        <f>SUM(AE402:AF402)</f>
        <v>1000</v>
      </c>
      <c r="AH402" s="78"/>
      <c r="AI402" s="78">
        <f>SUM(AG402:AH402)</f>
        <v>1000</v>
      </c>
      <c r="AJ402" s="78">
        <v>-1000</v>
      </c>
      <c r="AK402" s="78">
        <f>SUM(AI402:AJ402)</f>
        <v>0</v>
      </c>
      <c r="AL402" s="78"/>
      <c r="AM402" s="78">
        <f>SUM(AK402:AL402)</f>
        <v>0</v>
      </c>
      <c r="AN402" s="113"/>
      <c r="AO402" s="113"/>
      <c r="AP402" s="113"/>
    </row>
    <row r="403" spans="1:39" s="23" customFormat="1" ht="21" customHeight="1">
      <c r="A403" s="64"/>
      <c r="B403" s="79">
        <v>85215</v>
      </c>
      <c r="C403" s="83"/>
      <c r="D403" s="37" t="s">
        <v>56</v>
      </c>
      <c r="E403" s="78">
        <f aca="true" t="shared" si="436" ref="E403:AM403">SUM(E404)</f>
        <v>819400</v>
      </c>
      <c r="F403" s="78">
        <f t="shared" si="436"/>
        <v>0</v>
      </c>
      <c r="G403" s="78">
        <f t="shared" si="436"/>
        <v>819400</v>
      </c>
      <c r="H403" s="78">
        <f t="shared" si="436"/>
        <v>0</v>
      </c>
      <c r="I403" s="78">
        <f t="shared" si="436"/>
        <v>819400</v>
      </c>
      <c r="J403" s="78">
        <f t="shared" si="436"/>
        <v>0</v>
      </c>
      <c r="K403" s="78">
        <f t="shared" si="436"/>
        <v>819400</v>
      </c>
      <c r="L403" s="78">
        <f t="shared" si="436"/>
        <v>0</v>
      </c>
      <c r="M403" s="78">
        <f t="shared" si="436"/>
        <v>819400</v>
      </c>
      <c r="N403" s="78">
        <f t="shared" si="436"/>
        <v>0</v>
      </c>
      <c r="O403" s="78">
        <f t="shared" si="436"/>
        <v>819400</v>
      </c>
      <c r="P403" s="78">
        <f t="shared" si="436"/>
        <v>0</v>
      </c>
      <c r="Q403" s="78">
        <f t="shared" si="436"/>
        <v>819400</v>
      </c>
      <c r="R403" s="78">
        <f t="shared" si="436"/>
        <v>0</v>
      </c>
      <c r="S403" s="78">
        <f t="shared" si="436"/>
        <v>819400</v>
      </c>
      <c r="T403" s="78">
        <f t="shared" si="436"/>
        <v>0</v>
      </c>
      <c r="U403" s="78">
        <f t="shared" si="436"/>
        <v>819400</v>
      </c>
      <c r="V403" s="78">
        <f t="shared" si="436"/>
        <v>0</v>
      </c>
      <c r="W403" s="78">
        <f t="shared" si="436"/>
        <v>819400</v>
      </c>
      <c r="X403" s="78">
        <f t="shared" si="436"/>
        <v>0</v>
      </c>
      <c r="Y403" s="78">
        <f t="shared" si="436"/>
        <v>819400</v>
      </c>
      <c r="Z403" s="78">
        <f t="shared" si="436"/>
        <v>0</v>
      </c>
      <c r="AA403" s="78">
        <f t="shared" si="436"/>
        <v>819400</v>
      </c>
      <c r="AB403" s="78">
        <f t="shared" si="436"/>
        <v>0</v>
      </c>
      <c r="AC403" s="78">
        <f t="shared" si="436"/>
        <v>819400</v>
      </c>
      <c r="AD403" s="78">
        <f t="shared" si="436"/>
        <v>200000</v>
      </c>
      <c r="AE403" s="78">
        <f t="shared" si="436"/>
        <v>1019400</v>
      </c>
      <c r="AF403" s="78">
        <f t="shared" si="436"/>
        <v>0</v>
      </c>
      <c r="AG403" s="78">
        <f t="shared" si="436"/>
        <v>1019400</v>
      </c>
      <c r="AH403" s="78">
        <f t="shared" si="436"/>
        <v>0</v>
      </c>
      <c r="AI403" s="78">
        <f t="shared" si="436"/>
        <v>1019400</v>
      </c>
      <c r="AJ403" s="78">
        <f t="shared" si="436"/>
        <v>0</v>
      </c>
      <c r="AK403" s="78">
        <f t="shared" si="436"/>
        <v>1019400</v>
      </c>
      <c r="AL403" s="78">
        <f t="shared" si="436"/>
        <v>0</v>
      </c>
      <c r="AM403" s="78">
        <f t="shared" si="436"/>
        <v>1019400</v>
      </c>
    </row>
    <row r="404" spans="1:39" s="23" customFormat="1" ht="21" customHeight="1">
      <c r="A404" s="64"/>
      <c r="B404" s="79"/>
      <c r="C404" s="83">
        <v>3110</v>
      </c>
      <c r="D404" s="37" t="s">
        <v>111</v>
      </c>
      <c r="E404" s="78">
        <f>900000-80600</f>
        <v>819400</v>
      </c>
      <c r="F404" s="78"/>
      <c r="G404" s="78">
        <f>SUM(E404:F404)</f>
        <v>819400</v>
      </c>
      <c r="H404" s="78"/>
      <c r="I404" s="78">
        <f>SUM(G404:H404)</f>
        <v>819400</v>
      </c>
      <c r="J404" s="78"/>
      <c r="K404" s="78">
        <f>SUM(I404:J404)</f>
        <v>819400</v>
      </c>
      <c r="L404" s="78"/>
      <c r="M404" s="78">
        <f>SUM(K404:L404)</f>
        <v>819400</v>
      </c>
      <c r="N404" s="78"/>
      <c r="O404" s="78">
        <f>SUM(M404:N404)</f>
        <v>819400</v>
      </c>
      <c r="P404" s="78"/>
      <c r="Q404" s="78">
        <f>SUM(O404:P404)</f>
        <v>819400</v>
      </c>
      <c r="R404" s="78"/>
      <c r="S404" s="78">
        <f>SUM(Q404:R404)</f>
        <v>819400</v>
      </c>
      <c r="T404" s="78"/>
      <c r="U404" s="78">
        <f>SUM(S404:T404)</f>
        <v>819400</v>
      </c>
      <c r="V404" s="78"/>
      <c r="W404" s="78">
        <f>SUM(U404:V404)</f>
        <v>819400</v>
      </c>
      <c r="X404" s="78"/>
      <c r="Y404" s="78">
        <f>SUM(W404:X404)</f>
        <v>819400</v>
      </c>
      <c r="Z404" s="78"/>
      <c r="AA404" s="78">
        <f>SUM(Y404:Z404)</f>
        <v>819400</v>
      </c>
      <c r="AB404" s="78"/>
      <c r="AC404" s="78">
        <f>SUM(AA404:AB404)</f>
        <v>819400</v>
      </c>
      <c r="AD404" s="78">
        <v>200000</v>
      </c>
      <c r="AE404" s="78">
        <f>SUM(AC404:AD404)</f>
        <v>1019400</v>
      </c>
      <c r="AF404" s="78"/>
      <c r="AG404" s="78">
        <f>SUM(AE404:AF404)</f>
        <v>1019400</v>
      </c>
      <c r="AH404" s="78"/>
      <c r="AI404" s="78">
        <f>SUM(AG404:AH404)</f>
        <v>1019400</v>
      </c>
      <c r="AJ404" s="78"/>
      <c r="AK404" s="78">
        <f>SUM(AI404:AJ404)</f>
        <v>1019400</v>
      </c>
      <c r="AL404" s="78"/>
      <c r="AM404" s="78">
        <f>SUM(AK404:AL404)</f>
        <v>1019400</v>
      </c>
    </row>
    <row r="405" spans="1:39" s="23" customFormat="1" ht="19.5" customHeight="1">
      <c r="A405" s="64"/>
      <c r="B405" s="79">
        <v>82516</v>
      </c>
      <c r="C405" s="83"/>
      <c r="D405" s="37" t="s">
        <v>253</v>
      </c>
      <c r="E405" s="78">
        <f aca="true" t="shared" si="437" ref="E405:AM405">SUM(E406)</f>
        <v>449868</v>
      </c>
      <c r="F405" s="78">
        <f t="shared" si="437"/>
        <v>0</v>
      </c>
      <c r="G405" s="78">
        <f t="shared" si="437"/>
        <v>449868</v>
      </c>
      <c r="H405" s="78">
        <f t="shared" si="437"/>
        <v>0</v>
      </c>
      <c r="I405" s="78">
        <f t="shared" si="437"/>
        <v>449868</v>
      </c>
      <c r="J405" s="78">
        <f t="shared" si="437"/>
        <v>0</v>
      </c>
      <c r="K405" s="78">
        <f t="shared" si="437"/>
        <v>449868</v>
      </c>
      <c r="L405" s="78">
        <f t="shared" si="437"/>
        <v>0</v>
      </c>
      <c r="M405" s="78">
        <f t="shared" si="437"/>
        <v>449868</v>
      </c>
      <c r="N405" s="78">
        <f t="shared" si="437"/>
        <v>0</v>
      </c>
      <c r="O405" s="78">
        <f t="shared" si="437"/>
        <v>449868</v>
      </c>
      <c r="P405" s="78">
        <f t="shared" si="437"/>
        <v>0</v>
      </c>
      <c r="Q405" s="78">
        <f t="shared" si="437"/>
        <v>449868</v>
      </c>
      <c r="R405" s="78">
        <f t="shared" si="437"/>
        <v>0</v>
      </c>
      <c r="S405" s="78">
        <f t="shared" si="437"/>
        <v>449868</v>
      </c>
      <c r="T405" s="78">
        <f t="shared" si="437"/>
        <v>0</v>
      </c>
      <c r="U405" s="78">
        <f t="shared" si="437"/>
        <v>449868</v>
      </c>
      <c r="V405" s="78">
        <f t="shared" si="437"/>
        <v>0</v>
      </c>
      <c r="W405" s="78">
        <f t="shared" si="437"/>
        <v>449868</v>
      </c>
      <c r="X405" s="78">
        <f t="shared" si="437"/>
        <v>11041</v>
      </c>
      <c r="Y405" s="78">
        <f t="shared" si="437"/>
        <v>460909</v>
      </c>
      <c r="Z405" s="78">
        <f t="shared" si="437"/>
        <v>0</v>
      </c>
      <c r="AA405" s="78">
        <f t="shared" si="437"/>
        <v>460909</v>
      </c>
      <c r="AB405" s="78">
        <f t="shared" si="437"/>
        <v>0</v>
      </c>
      <c r="AC405" s="78">
        <f t="shared" si="437"/>
        <v>460909</v>
      </c>
      <c r="AD405" s="78">
        <f t="shared" si="437"/>
        <v>6248</v>
      </c>
      <c r="AE405" s="78">
        <f t="shared" si="437"/>
        <v>467157</v>
      </c>
      <c r="AF405" s="78">
        <f t="shared" si="437"/>
        <v>0</v>
      </c>
      <c r="AG405" s="78">
        <f t="shared" si="437"/>
        <v>467157</v>
      </c>
      <c r="AH405" s="78">
        <f t="shared" si="437"/>
        <v>0</v>
      </c>
      <c r="AI405" s="78">
        <f t="shared" si="437"/>
        <v>467157</v>
      </c>
      <c r="AJ405" s="78">
        <f t="shared" si="437"/>
        <v>41425</v>
      </c>
      <c r="AK405" s="78">
        <f t="shared" si="437"/>
        <v>508582</v>
      </c>
      <c r="AL405" s="78">
        <f t="shared" si="437"/>
        <v>-30590</v>
      </c>
      <c r="AM405" s="78">
        <f t="shared" si="437"/>
        <v>477992</v>
      </c>
    </row>
    <row r="406" spans="1:39" s="23" customFormat="1" ht="21" customHeight="1">
      <c r="A406" s="64"/>
      <c r="B406" s="79"/>
      <c r="C406" s="83">
        <v>3110</v>
      </c>
      <c r="D406" s="37" t="s">
        <v>111</v>
      </c>
      <c r="E406" s="78">
        <v>449868</v>
      </c>
      <c r="F406" s="78"/>
      <c r="G406" s="78">
        <f>SUM(E406:F406)</f>
        <v>449868</v>
      </c>
      <c r="H406" s="78"/>
      <c r="I406" s="78">
        <f>SUM(G406:H406)</f>
        <v>449868</v>
      </c>
      <c r="J406" s="78"/>
      <c r="K406" s="78">
        <f>SUM(I406:J406)</f>
        <v>449868</v>
      </c>
      <c r="L406" s="78"/>
      <c r="M406" s="78">
        <f>SUM(K406:L406)</f>
        <v>449868</v>
      </c>
      <c r="N406" s="78"/>
      <c r="O406" s="78">
        <f>SUM(M406:N406)</f>
        <v>449868</v>
      </c>
      <c r="P406" s="78"/>
      <c r="Q406" s="78">
        <f>SUM(O406:P406)</f>
        <v>449868</v>
      </c>
      <c r="R406" s="78"/>
      <c r="S406" s="78">
        <f>SUM(Q406:R406)</f>
        <v>449868</v>
      </c>
      <c r="T406" s="78"/>
      <c r="U406" s="78">
        <f>SUM(S406:T406)</f>
        <v>449868</v>
      </c>
      <c r="V406" s="78"/>
      <c r="W406" s="78">
        <f>SUM(U406:V406)</f>
        <v>449868</v>
      </c>
      <c r="X406" s="78">
        <v>11041</v>
      </c>
      <c r="Y406" s="78">
        <f>SUM(W406:X406)</f>
        <v>460909</v>
      </c>
      <c r="Z406" s="78"/>
      <c r="AA406" s="78">
        <f>SUM(Y406:Z406)</f>
        <v>460909</v>
      </c>
      <c r="AB406" s="78"/>
      <c r="AC406" s="78">
        <f>SUM(AA406:AB406)</f>
        <v>460909</v>
      </c>
      <c r="AD406" s="78">
        <v>6248</v>
      </c>
      <c r="AE406" s="78">
        <f>SUM(AC406:AD406)</f>
        <v>467157</v>
      </c>
      <c r="AF406" s="78"/>
      <c r="AG406" s="78">
        <f>SUM(AE406:AF406)</f>
        <v>467157</v>
      </c>
      <c r="AH406" s="78"/>
      <c r="AI406" s="78">
        <f>SUM(AG406:AH406)</f>
        <v>467157</v>
      </c>
      <c r="AJ406" s="78">
        <f>10308+31117</f>
        <v>41425</v>
      </c>
      <c r="AK406" s="78">
        <f>SUM(AI406:AJ406)</f>
        <v>508582</v>
      </c>
      <c r="AL406" s="78">
        <v>-30590</v>
      </c>
      <c r="AM406" s="78">
        <f>SUM(AK406:AL406)</f>
        <v>477992</v>
      </c>
    </row>
    <row r="407" spans="1:39" s="23" customFormat="1" ht="21" customHeight="1">
      <c r="A407" s="64"/>
      <c r="B407" s="79">
        <v>85219</v>
      </c>
      <c r="C407" s="83"/>
      <c r="D407" s="37" t="s">
        <v>57</v>
      </c>
      <c r="E407" s="78">
        <f aca="true" t="shared" si="438" ref="E407:W407">SUM(E408:E431)</f>
        <v>1374544</v>
      </c>
      <c r="F407" s="78">
        <f t="shared" si="438"/>
        <v>0</v>
      </c>
      <c r="G407" s="78">
        <f t="shared" si="438"/>
        <v>1374544</v>
      </c>
      <c r="H407" s="78">
        <f t="shared" si="438"/>
        <v>0</v>
      </c>
      <c r="I407" s="78">
        <f t="shared" si="438"/>
        <v>1374544</v>
      </c>
      <c r="J407" s="78">
        <f t="shared" si="438"/>
        <v>0</v>
      </c>
      <c r="K407" s="78">
        <f t="shared" si="438"/>
        <v>1374544</v>
      </c>
      <c r="L407" s="78">
        <f t="shared" si="438"/>
        <v>5500</v>
      </c>
      <c r="M407" s="78">
        <f t="shared" si="438"/>
        <v>1380044</v>
      </c>
      <c r="N407" s="78">
        <f t="shared" si="438"/>
        <v>0</v>
      </c>
      <c r="O407" s="78">
        <f t="shared" si="438"/>
        <v>1380044</v>
      </c>
      <c r="P407" s="78">
        <f t="shared" si="438"/>
        <v>13351</v>
      </c>
      <c r="Q407" s="78">
        <f t="shared" si="438"/>
        <v>1393395</v>
      </c>
      <c r="R407" s="78">
        <f t="shared" si="438"/>
        <v>0</v>
      </c>
      <c r="S407" s="78">
        <f t="shared" si="438"/>
        <v>1393395</v>
      </c>
      <c r="T407" s="78">
        <f t="shared" si="438"/>
        <v>0</v>
      </c>
      <c r="U407" s="78">
        <f t="shared" si="438"/>
        <v>1393395</v>
      </c>
      <c r="V407" s="78">
        <f t="shared" si="438"/>
        <v>0</v>
      </c>
      <c r="W407" s="78">
        <f t="shared" si="438"/>
        <v>1393395</v>
      </c>
      <c r="X407" s="78">
        <f aca="true" t="shared" si="439" ref="X407:AC407">SUM(X408:X431)</f>
        <v>0</v>
      </c>
      <c r="Y407" s="78">
        <f t="shared" si="439"/>
        <v>1393395</v>
      </c>
      <c r="Z407" s="78">
        <f t="shared" si="439"/>
        <v>17765</v>
      </c>
      <c r="AA407" s="78">
        <f t="shared" si="439"/>
        <v>1411160</v>
      </c>
      <c r="AB407" s="78">
        <f t="shared" si="439"/>
        <v>0</v>
      </c>
      <c r="AC407" s="78">
        <f t="shared" si="439"/>
        <v>1411160</v>
      </c>
      <c r="AD407" s="78">
        <f aca="true" t="shared" si="440" ref="AD407:AI407">SUM(AD408:AD431)</f>
        <v>9686</v>
      </c>
      <c r="AE407" s="78">
        <f t="shared" si="440"/>
        <v>1420846</v>
      </c>
      <c r="AF407" s="78">
        <f t="shared" si="440"/>
        <v>16649</v>
      </c>
      <c r="AG407" s="78">
        <f t="shared" si="440"/>
        <v>1437495</v>
      </c>
      <c r="AH407" s="78">
        <f t="shared" si="440"/>
        <v>0</v>
      </c>
      <c r="AI407" s="78">
        <f t="shared" si="440"/>
        <v>1437495</v>
      </c>
      <c r="AJ407" s="78">
        <f>SUM(AJ408:AJ431)</f>
        <v>4483</v>
      </c>
      <c r="AK407" s="78">
        <f>SUM(AK408:AK431)</f>
        <v>1441978</v>
      </c>
      <c r="AL407" s="78">
        <f>SUM(AL408:AL431)</f>
        <v>0</v>
      </c>
      <c r="AM407" s="78">
        <f>SUM(AM408:AM431)</f>
        <v>1441978</v>
      </c>
    </row>
    <row r="408" spans="1:39" s="23" customFormat="1" ht="21" customHeight="1">
      <c r="A408" s="64"/>
      <c r="B408" s="79"/>
      <c r="C408" s="83">
        <v>3020</v>
      </c>
      <c r="D408" s="37" t="s">
        <v>208</v>
      </c>
      <c r="E408" s="78">
        <f>2610+770</f>
        <v>3380</v>
      </c>
      <c r="F408" s="78"/>
      <c r="G408" s="78">
        <f>SUM(E408:F408)</f>
        <v>3380</v>
      </c>
      <c r="H408" s="78"/>
      <c r="I408" s="78">
        <f>SUM(G408:H408)</f>
        <v>3380</v>
      </c>
      <c r="J408" s="78"/>
      <c r="K408" s="78">
        <f>SUM(I408:J408)</f>
        <v>3380</v>
      </c>
      <c r="L408" s="78"/>
      <c r="M408" s="78">
        <f>SUM(K408:L408)</f>
        <v>3380</v>
      </c>
      <c r="N408" s="78"/>
      <c r="O408" s="78">
        <f>SUM(M408:N408)</f>
        <v>3380</v>
      </c>
      <c r="P408" s="78"/>
      <c r="Q408" s="78">
        <f>SUM(O408:P408)</f>
        <v>3380</v>
      </c>
      <c r="R408" s="78"/>
      <c r="S408" s="78">
        <f>SUM(Q408:R408)</f>
        <v>3380</v>
      </c>
      <c r="T408" s="78"/>
      <c r="U408" s="78">
        <f>SUM(S408:T408)</f>
        <v>3380</v>
      </c>
      <c r="V408" s="78"/>
      <c r="W408" s="78">
        <f>SUM(U408:V408)</f>
        <v>3380</v>
      </c>
      <c r="X408" s="78"/>
      <c r="Y408" s="78">
        <f>SUM(W408:X408)</f>
        <v>3380</v>
      </c>
      <c r="Z408" s="78"/>
      <c r="AA408" s="78">
        <f>SUM(Y408:Z408)</f>
        <v>3380</v>
      </c>
      <c r="AB408" s="78"/>
      <c r="AC408" s="78">
        <f>SUM(AA408:AB408)</f>
        <v>3380</v>
      </c>
      <c r="AD408" s="78"/>
      <c r="AE408" s="78">
        <f>SUM(AC408:AD408)</f>
        <v>3380</v>
      </c>
      <c r="AF408" s="78"/>
      <c r="AG408" s="78">
        <f>SUM(AE408:AF408)</f>
        <v>3380</v>
      </c>
      <c r="AH408" s="78"/>
      <c r="AI408" s="78">
        <f>SUM(AG408:AH408)</f>
        <v>3380</v>
      </c>
      <c r="AJ408" s="78">
        <v>388</v>
      </c>
      <c r="AK408" s="78">
        <f>SUM(AI408:AJ408)</f>
        <v>3768</v>
      </c>
      <c r="AL408" s="78"/>
      <c r="AM408" s="78">
        <f>SUM(AK408:AL408)</f>
        <v>3768</v>
      </c>
    </row>
    <row r="409" spans="1:39" s="23" customFormat="1" ht="21" customHeight="1">
      <c r="A409" s="64"/>
      <c r="B409" s="79"/>
      <c r="C409" s="83">
        <v>3110</v>
      </c>
      <c r="D409" s="37" t="s">
        <v>111</v>
      </c>
      <c r="E409" s="78"/>
      <c r="F409" s="78"/>
      <c r="G409" s="78"/>
      <c r="H409" s="78"/>
      <c r="I409" s="78"/>
      <c r="J409" s="78"/>
      <c r="K409" s="78">
        <v>0</v>
      </c>
      <c r="L409" s="78">
        <v>5500</v>
      </c>
      <c r="M409" s="78">
        <f>SUM(K409:L409)</f>
        <v>5500</v>
      </c>
      <c r="N409" s="78"/>
      <c r="O409" s="78">
        <f>SUM(M409:N409)</f>
        <v>5500</v>
      </c>
      <c r="P409" s="78"/>
      <c r="Q409" s="78">
        <f>SUM(O409:P409)</f>
        <v>5500</v>
      </c>
      <c r="R409" s="78"/>
      <c r="S409" s="78">
        <f>SUM(Q409:R409)</f>
        <v>5500</v>
      </c>
      <c r="T409" s="78"/>
      <c r="U409" s="78">
        <f>SUM(S409:T409)</f>
        <v>5500</v>
      </c>
      <c r="V409" s="78"/>
      <c r="W409" s="78">
        <f>SUM(U409:V409)</f>
        <v>5500</v>
      </c>
      <c r="X409" s="78"/>
      <c r="Y409" s="78">
        <f>SUM(W409:X409)</f>
        <v>5500</v>
      </c>
      <c r="Z409" s="78">
        <v>4000</v>
      </c>
      <c r="AA409" s="78">
        <f>SUM(Y409:Z409)</f>
        <v>9500</v>
      </c>
      <c r="AB409" s="78"/>
      <c r="AC409" s="78">
        <f>SUM(AA409:AB409)</f>
        <v>9500</v>
      </c>
      <c r="AD409" s="78"/>
      <c r="AE409" s="78">
        <f>SUM(AC409:AD409)</f>
        <v>9500</v>
      </c>
      <c r="AF409" s="78"/>
      <c r="AG409" s="78">
        <f>SUM(AE409:AF409)</f>
        <v>9500</v>
      </c>
      <c r="AH409" s="78"/>
      <c r="AI409" s="78">
        <f>SUM(AG409:AH409)</f>
        <v>9500</v>
      </c>
      <c r="AJ409" s="78">
        <v>4483</v>
      </c>
      <c r="AK409" s="78">
        <f>SUM(AI409:AJ409)</f>
        <v>13983</v>
      </c>
      <c r="AL409" s="78"/>
      <c r="AM409" s="78">
        <f>SUM(AK409:AL409)</f>
        <v>13983</v>
      </c>
    </row>
    <row r="410" spans="1:42" s="23" customFormat="1" ht="21" customHeight="1">
      <c r="A410" s="64"/>
      <c r="B410" s="79"/>
      <c r="C410" s="83">
        <v>4010</v>
      </c>
      <c r="D410" s="37" t="s">
        <v>83</v>
      </c>
      <c r="E410" s="78">
        <f>30333+277985+284599+80372</f>
        <v>673289</v>
      </c>
      <c r="F410" s="78"/>
      <c r="G410" s="78">
        <f aca="true" t="shared" si="441" ref="G410:G431">SUM(E410:F410)</f>
        <v>673289</v>
      </c>
      <c r="H410" s="78"/>
      <c r="I410" s="78">
        <f aca="true" t="shared" si="442" ref="I410:I431">SUM(G410:H410)</f>
        <v>673289</v>
      </c>
      <c r="J410" s="78"/>
      <c r="K410" s="78">
        <f aca="true" t="shared" si="443" ref="K410:K431">SUM(I410:J410)</f>
        <v>673289</v>
      </c>
      <c r="L410" s="78"/>
      <c r="M410" s="78">
        <f>SUM(K410:L410)</f>
        <v>673289</v>
      </c>
      <c r="N410" s="78"/>
      <c r="O410" s="78">
        <f>SUM(M410:N410)</f>
        <v>673289</v>
      </c>
      <c r="P410" s="78">
        <v>13351</v>
      </c>
      <c r="Q410" s="78">
        <f>SUM(O410:P410)</f>
        <v>686640</v>
      </c>
      <c r="R410" s="78"/>
      <c r="S410" s="78">
        <f>SUM(Q410:R410)</f>
        <v>686640</v>
      </c>
      <c r="T410" s="78"/>
      <c r="U410" s="78">
        <f>SUM(S410:T410)</f>
        <v>686640</v>
      </c>
      <c r="V410" s="78"/>
      <c r="W410" s="78">
        <f>SUM(U410:V410)</f>
        <v>686640</v>
      </c>
      <c r="X410" s="78"/>
      <c r="Y410" s="78">
        <f>SUM(W410:X410)</f>
        <v>686640</v>
      </c>
      <c r="Z410" s="78">
        <v>13765</v>
      </c>
      <c r="AA410" s="78">
        <f>SUM(Y410:Z410)</f>
        <v>700405</v>
      </c>
      <c r="AB410" s="78"/>
      <c r="AC410" s="78">
        <f>SUM(AA410:AB410)</f>
        <v>700405</v>
      </c>
      <c r="AD410" s="78">
        <v>3480</v>
      </c>
      <c r="AE410" s="78">
        <f>SUM(AC410:AD410)</f>
        <v>703885</v>
      </c>
      <c r="AF410" s="78">
        <v>14141</v>
      </c>
      <c r="AG410" s="78">
        <f>SUM(AE410:AF410)</f>
        <v>718026</v>
      </c>
      <c r="AH410" s="78"/>
      <c r="AI410" s="78">
        <f>SUM(AG410:AH410)</f>
        <v>718026</v>
      </c>
      <c r="AJ410" s="78">
        <v>576</v>
      </c>
      <c r="AK410" s="78">
        <f>SUM(AI410:AJ410)</f>
        <v>718602</v>
      </c>
      <c r="AL410" s="78"/>
      <c r="AM410" s="78">
        <f>SUM(AK410:AL410)</f>
        <v>718602</v>
      </c>
      <c r="AN410" s="113"/>
      <c r="AO410" s="113"/>
      <c r="AP410" s="113"/>
    </row>
    <row r="411" spans="1:42" s="23" customFormat="1" ht="21" customHeight="1">
      <c r="A411" s="64"/>
      <c r="B411" s="79"/>
      <c r="C411" s="83">
        <v>4040</v>
      </c>
      <c r="D411" s="37" t="s">
        <v>84</v>
      </c>
      <c r="E411" s="78">
        <f>2420+32000+14500+6200</f>
        <v>55120</v>
      </c>
      <c r="F411" s="78"/>
      <c r="G411" s="78">
        <f t="shared" si="441"/>
        <v>55120</v>
      </c>
      <c r="H411" s="78"/>
      <c r="I411" s="78">
        <f t="shared" si="442"/>
        <v>55120</v>
      </c>
      <c r="J411" s="78"/>
      <c r="K411" s="78">
        <f t="shared" si="443"/>
        <v>55120</v>
      </c>
      <c r="L411" s="78"/>
      <c r="M411" s="78">
        <f aca="true" t="shared" si="444" ref="M411:M431">SUM(K411:L411)</f>
        <v>55120</v>
      </c>
      <c r="N411" s="78"/>
      <c r="O411" s="78">
        <f aca="true" t="shared" si="445" ref="O411:O431">SUM(M411:N411)</f>
        <v>55120</v>
      </c>
      <c r="P411" s="78"/>
      <c r="Q411" s="78">
        <f aca="true" t="shared" si="446" ref="Q411:Q431">SUM(O411:P411)</f>
        <v>55120</v>
      </c>
      <c r="R411" s="78"/>
      <c r="S411" s="78">
        <f aca="true" t="shared" si="447" ref="S411:S431">SUM(Q411:R411)</f>
        <v>55120</v>
      </c>
      <c r="T411" s="78"/>
      <c r="U411" s="78">
        <f aca="true" t="shared" si="448" ref="U411:U431">SUM(S411:T411)</f>
        <v>55120</v>
      </c>
      <c r="V411" s="78"/>
      <c r="W411" s="78">
        <f aca="true" t="shared" si="449" ref="W411:W431">SUM(U411:V411)</f>
        <v>55120</v>
      </c>
      <c r="X411" s="78"/>
      <c r="Y411" s="78">
        <f aca="true" t="shared" si="450" ref="Y411:Y431">SUM(W411:X411)</f>
        <v>55120</v>
      </c>
      <c r="Z411" s="78"/>
      <c r="AA411" s="78">
        <f aca="true" t="shared" si="451" ref="AA411:AA431">SUM(Y411:Z411)</f>
        <v>55120</v>
      </c>
      <c r="AB411" s="78"/>
      <c r="AC411" s="78">
        <f aca="true" t="shared" si="452" ref="AC411:AC431">SUM(AA411:AB411)</f>
        <v>55120</v>
      </c>
      <c r="AD411" s="78"/>
      <c r="AE411" s="78">
        <f aca="true" t="shared" si="453" ref="AE411:AE431">SUM(AC411:AD411)</f>
        <v>55120</v>
      </c>
      <c r="AF411" s="78"/>
      <c r="AG411" s="78">
        <f aca="true" t="shared" si="454" ref="AG411:AG431">SUM(AE411:AF411)</f>
        <v>55120</v>
      </c>
      <c r="AH411" s="78"/>
      <c r="AI411" s="78">
        <f aca="true" t="shared" si="455" ref="AI411:AI431">SUM(AG411:AH411)</f>
        <v>55120</v>
      </c>
      <c r="AJ411" s="78"/>
      <c r="AK411" s="78">
        <f aca="true" t="shared" si="456" ref="AK411:AK431">SUM(AI411:AJ411)</f>
        <v>55120</v>
      </c>
      <c r="AL411" s="78"/>
      <c r="AM411" s="78">
        <f aca="true" t="shared" si="457" ref="AM411:AM431">SUM(AK411:AL411)</f>
        <v>55120</v>
      </c>
      <c r="AN411" s="113"/>
      <c r="AO411" s="113"/>
      <c r="AP411" s="113"/>
    </row>
    <row r="412" spans="1:42" s="23" customFormat="1" ht="21" customHeight="1">
      <c r="A412" s="64"/>
      <c r="B412" s="79"/>
      <c r="C412" s="83">
        <v>4110</v>
      </c>
      <c r="D412" s="37" t="s">
        <v>85</v>
      </c>
      <c r="E412" s="78">
        <f>5008+42504+50164+13237</f>
        <v>110913</v>
      </c>
      <c r="F412" s="78"/>
      <c r="G412" s="78">
        <f t="shared" si="441"/>
        <v>110913</v>
      </c>
      <c r="H412" s="78"/>
      <c r="I412" s="78">
        <f t="shared" si="442"/>
        <v>110913</v>
      </c>
      <c r="J412" s="78"/>
      <c r="K412" s="78">
        <f t="shared" si="443"/>
        <v>110913</v>
      </c>
      <c r="L412" s="78"/>
      <c r="M412" s="78">
        <f t="shared" si="444"/>
        <v>110913</v>
      </c>
      <c r="N412" s="78"/>
      <c r="O412" s="78">
        <f t="shared" si="445"/>
        <v>110913</v>
      </c>
      <c r="P412" s="78"/>
      <c r="Q412" s="78">
        <f t="shared" si="446"/>
        <v>110913</v>
      </c>
      <c r="R412" s="78"/>
      <c r="S412" s="78">
        <f t="shared" si="447"/>
        <v>110913</v>
      </c>
      <c r="T412" s="78"/>
      <c r="U412" s="78">
        <f t="shared" si="448"/>
        <v>110913</v>
      </c>
      <c r="V412" s="78"/>
      <c r="W412" s="78">
        <f t="shared" si="449"/>
        <v>110913</v>
      </c>
      <c r="X412" s="78"/>
      <c r="Y412" s="78">
        <f t="shared" si="450"/>
        <v>110913</v>
      </c>
      <c r="Z412" s="78"/>
      <c r="AA412" s="78">
        <f t="shared" si="451"/>
        <v>110913</v>
      </c>
      <c r="AB412" s="78"/>
      <c r="AC412" s="78">
        <f t="shared" si="452"/>
        <v>110913</v>
      </c>
      <c r="AD412" s="78">
        <v>5348</v>
      </c>
      <c r="AE412" s="78">
        <f t="shared" si="453"/>
        <v>116261</v>
      </c>
      <c r="AF412" s="78">
        <v>2162</v>
      </c>
      <c r="AG412" s="78">
        <f t="shared" si="454"/>
        <v>118423</v>
      </c>
      <c r="AH412" s="78"/>
      <c r="AI412" s="78">
        <f t="shared" si="455"/>
        <v>118423</v>
      </c>
      <c r="AJ412" s="78">
        <v>88</v>
      </c>
      <c r="AK412" s="78">
        <f t="shared" si="456"/>
        <v>118511</v>
      </c>
      <c r="AL412" s="78"/>
      <c r="AM412" s="78">
        <f t="shared" si="457"/>
        <v>118511</v>
      </c>
      <c r="AN412" s="113"/>
      <c r="AO412" s="113"/>
      <c r="AP412" s="113"/>
    </row>
    <row r="413" spans="1:42" s="23" customFormat="1" ht="21" customHeight="1">
      <c r="A413" s="64"/>
      <c r="B413" s="79"/>
      <c r="C413" s="83">
        <v>4120</v>
      </c>
      <c r="D413" s="37" t="s">
        <v>86</v>
      </c>
      <c r="E413" s="78">
        <f>803+6810+7945+2121</f>
        <v>17679</v>
      </c>
      <c r="F413" s="78"/>
      <c r="G413" s="78">
        <f t="shared" si="441"/>
        <v>17679</v>
      </c>
      <c r="H413" s="78"/>
      <c r="I413" s="78">
        <f t="shared" si="442"/>
        <v>17679</v>
      </c>
      <c r="J413" s="78"/>
      <c r="K413" s="78">
        <f t="shared" si="443"/>
        <v>17679</v>
      </c>
      <c r="L413" s="78"/>
      <c r="M413" s="78">
        <f t="shared" si="444"/>
        <v>17679</v>
      </c>
      <c r="N413" s="78"/>
      <c r="O413" s="78">
        <f t="shared" si="445"/>
        <v>17679</v>
      </c>
      <c r="P413" s="78"/>
      <c r="Q413" s="78">
        <f t="shared" si="446"/>
        <v>17679</v>
      </c>
      <c r="R413" s="78"/>
      <c r="S413" s="78">
        <f t="shared" si="447"/>
        <v>17679</v>
      </c>
      <c r="T413" s="78"/>
      <c r="U413" s="78">
        <f t="shared" si="448"/>
        <v>17679</v>
      </c>
      <c r="V413" s="78"/>
      <c r="W413" s="78">
        <f t="shared" si="449"/>
        <v>17679</v>
      </c>
      <c r="X413" s="78"/>
      <c r="Y413" s="78">
        <f t="shared" si="450"/>
        <v>17679</v>
      </c>
      <c r="Z413" s="78"/>
      <c r="AA413" s="78">
        <f t="shared" si="451"/>
        <v>17679</v>
      </c>
      <c r="AB413" s="78"/>
      <c r="AC413" s="78">
        <f t="shared" si="452"/>
        <v>17679</v>
      </c>
      <c r="AD413" s="78">
        <v>858</v>
      </c>
      <c r="AE413" s="78">
        <f t="shared" si="453"/>
        <v>18537</v>
      </c>
      <c r="AF413" s="78">
        <v>346</v>
      </c>
      <c r="AG413" s="78">
        <f t="shared" si="454"/>
        <v>18883</v>
      </c>
      <c r="AH413" s="78"/>
      <c r="AI413" s="78">
        <f t="shared" si="455"/>
        <v>18883</v>
      </c>
      <c r="AJ413" s="78">
        <v>14</v>
      </c>
      <c r="AK413" s="78">
        <f t="shared" si="456"/>
        <v>18897</v>
      </c>
      <c r="AL413" s="78"/>
      <c r="AM413" s="78">
        <f t="shared" si="457"/>
        <v>18897</v>
      </c>
      <c r="AN413" s="113"/>
      <c r="AO413" s="113"/>
      <c r="AP413" s="113"/>
    </row>
    <row r="414" spans="1:42" s="23" customFormat="1" ht="21" customHeight="1">
      <c r="A414" s="64"/>
      <c r="B414" s="79"/>
      <c r="C414" s="83">
        <v>4170</v>
      </c>
      <c r="D414" s="37" t="s">
        <v>189</v>
      </c>
      <c r="E414" s="78">
        <v>10200</v>
      </c>
      <c r="F414" s="78"/>
      <c r="G414" s="78">
        <f t="shared" si="441"/>
        <v>10200</v>
      </c>
      <c r="H414" s="78"/>
      <c r="I414" s="78">
        <f t="shared" si="442"/>
        <v>10200</v>
      </c>
      <c r="J414" s="78"/>
      <c r="K414" s="78">
        <f t="shared" si="443"/>
        <v>10200</v>
      </c>
      <c r="L414" s="78"/>
      <c r="M414" s="78">
        <f t="shared" si="444"/>
        <v>10200</v>
      </c>
      <c r="N414" s="78"/>
      <c r="O414" s="78">
        <f t="shared" si="445"/>
        <v>10200</v>
      </c>
      <c r="P414" s="78"/>
      <c r="Q414" s="78">
        <f t="shared" si="446"/>
        <v>10200</v>
      </c>
      <c r="R414" s="78"/>
      <c r="S414" s="78">
        <f t="shared" si="447"/>
        <v>10200</v>
      </c>
      <c r="T414" s="78"/>
      <c r="U414" s="78">
        <f t="shared" si="448"/>
        <v>10200</v>
      </c>
      <c r="V414" s="78"/>
      <c r="W414" s="78">
        <f t="shared" si="449"/>
        <v>10200</v>
      </c>
      <c r="X414" s="78"/>
      <c r="Y414" s="78">
        <f t="shared" si="450"/>
        <v>10200</v>
      </c>
      <c r="Z414" s="78"/>
      <c r="AA414" s="78">
        <f t="shared" si="451"/>
        <v>10200</v>
      </c>
      <c r="AB414" s="78"/>
      <c r="AC414" s="78">
        <f t="shared" si="452"/>
        <v>10200</v>
      </c>
      <c r="AD414" s="78"/>
      <c r="AE414" s="78">
        <f t="shared" si="453"/>
        <v>10200</v>
      </c>
      <c r="AF414" s="78"/>
      <c r="AG414" s="78">
        <f t="shared" si="454"/>
        <v>10200</v>
      </c>
      <c r="AH414" s="78"/>
      <c r="AI414" s="78">
        <f t="shared" si="455"/>
        <v>10200</v>
      </c>
      <c r="AJ414" s="78"/>
      <c r="AK414" s="78">
        <f t="shared" si="456"/>
        <v>10200</v>
      </c>
      <c r="AL414" s="78"/>
      <c r="AM414" s="78">
        <f t="shared" si="457"/>
        <v>10200</v>
      </c>
      <c r="AN414" s="113"/>
      <c r="AO414" s="113"/>
      <c r="AP414" s="113"/>
    </row>
    <row r="415" spans="1:39" s="23" customFormat="1" ht="21" customHeight="1">
      <c r="A415" s="64"/>
      <c r="B415" s="79"/>
      <c r="C415" s="83">
        <v>4210</v>
      </c>
      <c r="D415" s="37" t="s">
        <v>91</v>
      </c>
      <c r="E415" s="78">
        <f>4200+21100+11850</f>
        <v>37150</v>
      </c>
      <c r="F415" s="78"/>
      <c r="G415" s="78">
        <f t="shared" si="441"/>
        <v>37150</v>
      </c>
      <c r="H415" s="78"/>
      <c r="I415" s="78">
        <f t="shared" si="442"/>
        <v>37150</v>
      </c>
      <c r="J415" s="78"/>
      <c r="K415" s="78">
        <f t="shared" si="443"/>
        <v>37150</v>
      </c>
      <c r="L415" s="78"/>
      <c r="M415" s="78">
        <f t="shared" si="444"/>
        <v>37150</v>
      </c>
      <c r="N415" s="78"/>
      <c r="O415" s="78">
        <f t="shared" si="445"/>
        <v>37150</v>
      </c>
      <c r="P415" s="78"/>
      <c r="Q415" s="78">
        <f t="shared" si="446"/>
        <v>37150</v>
      </c>
      <c r="R415" s="78"/>
      <c r="S415" s="78">
        <f t="shared" si="447"/>
        <v>37150</v>
      </c>
      <c r="T415" s="78"/>
      <c r="U415" s="78">
        <f t="shared" si="448"/>
        <v>37150</v>
      </c>
      <c r="V415" s="78"/>
      <c r="W415" s="78">
        <f t="shared" si="449"/>
        <v>37150</v>
      </c>
      <c r="X415" s="78"/>
      <c r="Y415" s="78">
        <f t="shared" si="450"/>
        <v>37150</v>
      </c>
      <c r="Z415" s="78"/>
      <c r="AA415" s="78">
        <f t="shared" si="451"/>
        <v>37150</v>
      </c>
      <c r="AB415" s="78"/>
      <c r="AC415" s="78">
        <f t="shared" si="452"/>
        <v>37150</v>
      </c>
      <c r="AD415" s="78"/>
      <c r="AE415" s="78">
        <f t="shared" si="453"/>
        <v>37150</v>
      </c>
      <c r="AF415" s="78"/>
      <c r="AG415" s="78">
        <f t="shared" si="454"/>
        <v>37150</v>
      </c>
      <c r="AH415" s="78"/>
      <c r="AI415" s="78">
        <f t="shared" si="455"/>
        <v>37150</v>
      </c>
      <c r="AJ415" s="78"/>
      <c r="AK415" s="78">
        <f t="shared" si="456"/>
        <v>37150</v>
      </c>
      <c r="AL415" s="78">
        <v>-2000</v>
      </c>
      <c r="AM415" s="78">
        <f t="shared" si="457"/>
        <v>35150</v>
      </c>
    </row>
    <row r="416" spans="1:39" s="23" customFormat="1" ht="21" customHeight="1">
      <c r="A416" s="64"/>
      <c r="B416" s="79"/>
      <c r="C416" s="83">
        <v>4220</v>
      </c>
      <c r="D416" s="37" t="s">
        <v>178</v>
      </c>
      <c r="E416" s="78">
        <v>190000</v>
      </c>
      <c r="F416" s="78"/>
      <c r="G416" s="78">
        <f t="shared" si="441"/>
        <v>190000</v>
      </c>
      <c r="H416" s="78"/>
      <c r="I416" s="78">
        <f t="shared" si="442"/>
        <v>190000</v>
      </c>
      <c r="J416" s="78"/>
      <c r="K416" s="78">
        <f t="shared" si="443"/>
        <v>190000</v>
      </c>
      <c r="L416" s="78"/>
      <c r="M416" s="78">
        <f t="shared" si="444"/>
        <v>190000</v>
      </c>
      <c r="N416" s="78"/>
      <c r="O416" s="78">
        <f t="shared" si="445"/>
        <v>190000</v>
      </c>
      <c r="P416" s="78"/>
      <c r="Q416" s="78">
        <f t="shared" si="446"/>
        <v>190000</v>
      </c>
      <c r="R416" s="78"/>
      <c r="S416" s="78">
        <f t="shared" si="447"/>
        <v>190000</v>
      </c>
      <c r="T416" s="78"/>
      <c r="U416" s="78">
        <f t="shared" si="448"/>
        <v>190000</v>
      </c>
      <c r="V416" s="78"/>
      <c r="W416" s="78">
        <f t="shared" si="449"/>
        <v>190000</v>
      </c>
      <c r="X416" s="78"/>
      <c r="Y416" s="78">
        <f t="shared" si="450"/>
        <v>190000</v>
      </c>
      <c r="Z416" s="78"/>
      <c r="AA416" s="78">
        <f t="shared" si="451"/>
        <v>190000</v>
      </c>
      <c r="AB416" s="78"/>
      <c r="AC416" s="78">
        <f t="shared" si="452"/>
        <v>190000</v>
      </c>
      <c r="AD416" s="78"/>
      <c r="AE416" s="78">
        <f t="shared" si="453"/>
        <v>190000</v>
      </c>
      <c r="AF416" s="78"/>
      <c r="AG416" s="78">
        <f t="shared" si="454"/>
        <v>190000</v>
      </c>
      <c r="AH416" s="78"/>
      <c r="AI416" s="78">
        <f t="shared" si="455"/>
        <v>190000</v>
      </c>
      <c r="AJ416" s="78"/>
      <c r="AK416" s="78">
        <f t="shared" si="456"/>
        <v>190000</v>
      </c>
      <c r="AL416" s="78"/>
      <c r="AM416" s="78">
        <f t="shared" si="457"/>
        <v>190000</v>
      </c>
    </row>
    <row r="417" spans="1:39" s="23" customFormat="1" ht="21" customHeight="1">
      <c r="A417" s="64"/>
      <c r="B417" s="79"/>
      <c r="C417" s="83">
        <v>4260</v>
      </c>
      <c r="D417" s="37" t="s">
        <v>94</v>
      </c>
      <c r="E417" s="78">
        <f>6340+13615</f>
        <v>19955</v>
      </c>
      <c r="F417" s="78"/>
      <c r="G417" s="78">
        <f t="shared" si="441"/>
        <v>19955</v>
      </c>
      <c r="H417" s="78"/>
      <c r="I417" s="78">
        <f t="shared" si="442"/>
        <v>19955</v>
      </c>
      <c r="J417" s="78"/>
      <c r="K417" s="78">
        <f t="shared" si="443"/>
        <v>19955</v>
      </c>
      <c r="L417" s="78"/>
      <c r="M417" s="78">
        <f t="shared" si="444"/>
        <v>19955</v>
      </c>
      <c r="N417" s="78"/>
      <c r="O417" s="78">
        <f t="shared" si="445"/>
        <v>19955</v>
      </c>
      <c r="P417" s="78"/>
      <c r="Q417" s="78">
        <f t="shared" si="446"/>
        <v>19955</v>
      </c>
      <c r="R417" s="78"/>
      <c r="S417" s="78">
        <f t="shared" si="447"/>
        <v>19955</v>
      </c>
      <c r="T417" s="78"/>
      <c r="U417" s="78">
        <f t="shared" si="448"/>
        <v>19955</v>
      </c>
      <c r="V417" s="78"/>
      <c r="W417" s="78">
        <f t="shared" si="449"/>
        <v>19955</v>
      </c>
      <c r="X417" s="78"/>
      <c r="Y417" s="78">
        <f t="shared" si="450"/>
        <v>19955</v>
      </c>
      <c r="Z417" s="78"/>
      <c r="AA417" s="78">
        <f t="shared" si="451"/>
        <v>19955</v>
      </c>
      <c r="AB417" s="78"/>
      <c r="AC417" s="78">
        <f t="shared" si="452"/>
        <v>19955</v>
      </c>
      <c r="AD417" s="78"/>
      <c r="AE417" s="78">
        <f t="shared" si="453"/>
        <v>19955</v>
      </c>
      <c r="AF417" s="78"/>
      <c r="AG417" s="78">
        <f t="shared" si="454"/>
        <v>19955</v>
      </c>
      <c r="AH417" s="78"/>
      <c r="AI417" s="78">
        <f t="shared" si="455"/>
        <v>19955</v>
      </c>
      <c r="AJ417" s="78"/>
      <c r="AK417" s="78">
        <f t="shared" si="456"/>
        <v>19955</v>
      </c>
      <c r="AL417" s="78"/>
      <c r="AM417" s="78">
        <f t="shared" si="457"/>
        <v>19955</v>
      </c>
    </row>
    <row r="418" spans="1:39" s="23" customFormat="1" ht="21" customHeight="1">
      <c r="A418" s="64"/>
      <c r="B418" s="79"/>
      <c r="C418" s="83">
        <v>4270</v>
      </c>
      <c r="D418" s="37" t="s">
        <v>77</v>
      </c>
      <c r="E418" s="78">
        <f>1000+1000</f>
        <v>2000</v>
      </c>
      <c r="F418" s="78"/>
      <c r="G418" s="78">
        <f t="shared" si="441"/>
        <v>2000</v>
      </c>
      <c r="H418" s="78"/>
      <c r="I418" s="78">
        <f t="shared" si="442"/>
        <v>2000</v>
      </c>
      <c r="J418" s="78"/>
      <c r="K418" s="78">
        <f t="shared" si="443"/>
        <v>2000</v>
      </c>
      <c r="L418" s="78"/>
      <c r="M418" s="78">
        <f t="shared" si="444"/>
        <v>2000</v>
      </c>
      <c r="N418" s="78"/>
      <c r="O418" s="78">
        <f t="shared" si="445"/>
        <v>2000</v>
      </c>
      <c r="P418" s="78"/>
      <c r="Q418" s="78">
        <f t="shared" si="446"/>
        <v>2000</v>
      </c>
      <c r="R418" s="78"/>
      <c r="S418" s="78">
        <f t="shared" si="447"/>
        <v>2000</v>
      </c>
      <c r="T418" s="78"/>
      <c r="U418" s="78">
        <f t="shared" si="448"/>
        <v>2000</v>
      </c>
      <c r="V418" s="78"/>
      <c r="W418" s="78">
        <f t="shared" si="449"/>
        <v>2000</v>
      </c>
      <c r="X418" s="78"/>
      <c r="Y418" s="78">
        <f t="shared" si="450"/>
        <v>2000</v>
      </c>
      <c r="Z418" s="78"/>
      <c r="AA418" s="78">
        <f t="shared" si="451"/>
        <v>2000</v>
      </c>
      <c r="AB418" s="78"/>
      <c r="AC418" s="78">
        <f t="shared" si="452"/>
        <v>2000</v>
      </c>
      <c r="AD418" s="78"/>
      <c r="AE418" s="78">
        <f t="shared" si="453"/>
        <v>2000</v>
      </c>
      <c r="AF418" s="78"/>
      <c r="AG418" s="78">
        <f t="shared" si="454"/>
        <v>2000</v>
      </c>
      <c r="AH418" s="78"/>
      <c r="AI418" s="78">
        <f t="shared" si="455"/>
        <v>2000</v>
      </c>
      <c r="AJ418" s="78">
        <v>-388</v>
      </c>
      <c r="AK418" s="78">
        <f t="shared" si="456"/>
        <v>1612</v>
      </c>
      <c r="AL418" s="78"/>
      <c r="AM418" s="78">
        <f t="shared" si="457"/>
        <v>1612</v>
      </c>
    </row>
    <row r="419" spans="1:39" s="23" customFormat="1" ht="21" customHeight="1">
      <c r="A419" s="64"/>
      <c r="B419" s="79"/>
      <c r="C419" s="83">
        <v>4280</v>
      </c>
      <c r="D419" s="37" t="s">
        <v>196</v>
      </c>
      <c r="E419" s="78">
        <f>150+850+680</f>
        <v>1680</v>
      </c>
      <c r="F419" s="78"/>
      <c r="G419" s="78">
        <f t="shared" si="441"/>
        <v>1680</v>
      </c>
      <c r="H419" s="78"/>
      <c r="I419" s="78">
        <f t="shared" si="442"/>
        <v>1680</v>
      </c>
      <c r="J419" s="78"/>
      <c r="K419" s="78">
        <f t="shared" si="443"/>
        <v>1680</v>
      </c>
      <c r="L419" s="78"/>
      <c r="M419" s="78">
        <f t="shared" si="444"/>
        <v>1680</v>
      </c>
      <c r="N419" s="78"/>
      <c r="O419" s="78">
        <f t="shared" si="445"/>
        <v>1680</v>
      </c>
      <c r="P419" s="78"/>
      <c r="Q419" s="78">
        <f t="shared" si="446"/>
        <v>1680</v>
      </c>
      <c r="R419" s="78"/>
      <c r="S419" s="78">
        <f t="shared" si="447"/>
        <v>1680</v>
      </c>
      <c r="T419" s="78"/>
      <c r="U419" s="78">
        <f t="shared" si="448"/>
        <v>1680</v>
      </c>
      <c r="V419" s="78"/>
      <c r="W419" s="78">
        <f t="shared" si="449"/>
        <v>1680</v>
      </c>
      <c r="X419" s="78"/>
      <c r="Y419" s="78">
        <f t="shared" si="450"/>
        <v>1680</v>
      </c>
      <c r="Z419" s="78"/>
      <c r="AA419" s="78">
        <f t="shared" si="451"/>
        <v>1680</v>
      </c>
      <c r="AB419" s="78"/>
      <c r="AC419" s="78">
        <f t="shared" si="452"/>
        <v>1680</v>
      </c>
      <c r="AD419" s="78"/>
      <c r="AE419" s="78">
        <f t="shared" si="453"/>
        <v>1680</v>
      </c>
      <c r="AF419" s="78"/>
      <c r="AG419" s="78">
        <f t="shared" si="454"/>
        <v>1680</v>
      </c>
      <c r="AH419" s="78"/>
      <c r="AI419" s="78">
        <f t="shared" si="455"/>
        <v>1680</v>
      </c>
      <c r="AJ419" s="78"/>
      <c r="AK419" s="78">
        <f t="shared" si="456"/>
        <v>1680</v>
      </c>
      <c r="AL419" s="78">
        <v>-50</v>
      </c>
      <c r="AM419" s="78">
        <f t="shared" si="457"/>
        <v>1630</v>
      </c>
    </row>
    <row r="420" spans="1:39" s="23" customFormat="1" ht="21" customHeight="1">
      <c r="A420" s="64"/>
      <c r="B420" s="79"/>
      <c r="C420" s="83">
        <v>4300</v>
      </c>
      <c r="D420" s="37" t="s">
        <v>78</v>
      </c>
      <c r="E420" s="78">
        <f>55660+35816+15620</f>
        <v>107096</v>
      </c>
      <c r="F420" s="78"/>
      <c r="G420" s="78">
        <f t="shared" si="441"/>
        <v>107096</v>
      </c>
      <c r="H420" s="78"/>
      <c r="I420" s="78">
        <f t="shared" si="442"/>
        <v>107096</v>
      </c>
      <c r="J420" s="78"/>
      <c r="K420" s="78">
        <f t="shared" si="443"/>
        <v>107096</v>
      </c>
      <c r="L420" s="78"/>
      <c r="M420" s="78">
        <f t="shared" si="444"/>
        <v>107096</v>
      </c>
      <c r="N420" s="78"/>
      <c r="O420" s="78">
        <f t="shared" si="445"/>
        <v>107096</v>
      </c>
      <c r="P420" s="78"/>
      <c r="Q420" s="78">
        <f t="shared" si="446"/>
        <v>107096</v>
      </c>
      <c r="R420" s="78"/>
      <c r="S420" s="78">
        <f t="shared" si="447"/>
        <v>107096</v>
      </c>
      <c r="T420" s="78"/>
      <c r="U420" s="78">
        <f t="shared" si="448"/>
        <v>107096</v>
      </c>
      <c r="V420" s="78"/>
      <c r="W420" s="78">
        <f t="shared" si="449"/>
        <v>107096</v>
      </c>
      <c r="X420" s="78"/>
      <c r="Y420" s="78">
        <f t="shared" si="450"/>
        <v>107096</v>
      </c>
      <c r="Z420" s="78"/>
      <c r="AA420" s="78">
        <f t="shared" si="451"/>
        <v>107096</v>
      </c>
      <c r="AB420" s="78"/>
      <c r="AC420" s="78">
        <f t="shared" si="452"/>
        <v>107096</v>
      </c>
      <c r="AD420" s="78"/>
      <c r="AE420" s="78">
        <f t="shared" si="453"/>
        <v>107096</v>
      </c>
      <c r="AF420" s="78"/>
      <c r="AG420" s="78">
        <f t="shared" si="454"/>
        <v>107096</v>
      </c>
      <c r="AH420" s="78"/>
      <c r="AI420" s="78">
        <f t="shared" si="455"/>
        <v>107096</v>
      </c>
      <c r="AJ420" s="78">
        <v>-678</v>
      </c>
      <c r="AK420" s="78">
        <f t="shared" si="456"/>
        <v>106418</v>
      </c>
      <c r="AL420" s="78">
        <v>4776</v>
      </c>
      <c r="AM420" s="78">
        <f t="shared" si="457"/>
        <v>111194</v>
      </c>
    </row>
    <row r="421" spans="1:39" s="23" customFormat="1" ht="21" customHeight="1">
      <c r="A421" s="64"/>
      <c r="B421" s="79"/>
      <c r="C421" s="83">
        <v>4350</v>
      </c>
      <c r="D421" s="37" t="s">
        <v>203</v>
      </c>
      <c r="E421" s="78">
        <f>550+627</f>
        <v>1177</v>
      </c>
      <c r="F421" s="78"/>
      <c r="G421" s="78">
        <f t="shared" si="441"/>
        <v>1177</v>
      </c>
      <c r="H421" s="78"/>
      <c r="I421" s="78">
        <f t="shared" si="442"/>
        <v>1177</v>
      </c>
      <c r="J421" s="78"/>
      <c r="K421" s="78">
        <f t="shared" si="443"/>
        <v>1177</v>
      </c>
      <c r="L421" s="78"/>
      <c r="M421" s="78">
        <f t="shared" si="444"/>
        <v>1177</v>
      </c>
      <c r="N421" s="78"/>
      <c r="O421" s="78">
        <f t="shared" si="445"/>
        <v>1177</v>
      </c>
      <c r="P421" s="78"/>
      <c r="Q421" s="78">
        <f t="shared" si="446"/>
        <v>1177</v>
      </c>
      <c r="R421" s="78"/>
      <c r="S421" s="78">
        <f t="shared" si="447"/>
        <v>1177</v>
      </c>
      <c r="T421" s="78"/>
      <c r="U421" s="78">
        <f t="shared" si="448"/>
        <v>1177</v>
      </c>
      <c r="V421" s="78"/>
      <c r="W421" s="78">
        <f t="shared" si="449"/>
        <v>1177</v>
      </c>
      <c r="X421" s="78"/>
      <c r="Y421" s="78">
        <f t="shared" si="450"/>
        <v>1177</v>
      </c>
      <c r="Z421" s="78"/>
      <c r="AA421" s="78">
        <f t="shared" si="451"/>
        <v>1177</v>
      </c>
      <c r="AB421" s="78"/>
      <c r="AC421" s="78">
        <f t="shared" si="452"/>
        <v>1177</v>
      </c>
      <c r="AD421" s="78"/>
      <c r="AE421" s="78">
        <f t="shared" si="453"/>
        <v>1177</v>
      </c>
      <c r="AF421" s="78"/>
      <c r="AG421" s="78">
        <f t="shared" si="454"/>
        <v>1177</v>
      </c>
      <c r="AH421" s="78"/>
      <c r="AI421" s="78">
        <f t="shared" si="455"/>
        <v>1177</v>
      </c>
      <c r="AJ421" s="78"/>
      <c r="AK421" s="78">
        <f t="shared" si="456"/>
        <v>1177</v>
      </c>
      <c r="AL421" s="78">
        <v>-5</v>
      </c>
      <c r="AM421" s="78">
        <f t="shared" si="457"/>
        <v>1172</v>
      </c>
    </row>
    <row r="422" spans="1:39" s="23" customFormat="1" ht="33.75">
      <c r="A422" s="64"/>
      <c r="B422" s="79"/>
      <c r="C422" s="83">
        <v>4360</v>
      </c>
      <c r="D422" s="37" t="s">
        <v>363</v>
      </c>
      <c r="E422" s="78">
        <v>732</v>
      </c>
      <c r="F422" s="78"/>
      <c r="G422" s="78">
        <f t="shared" si="441"/>
        <v>732</v>
      </c>
      <c r="H422" s="78"/>
      <c r="I422" s="78">
        <f t="shared" si="442"/>
        <v>732</v>
      </c>
      <c r="J422" s="78"/>
      <c r="K422" s="78">
        <f t="shared" si="443"/>
        <v>732</v>
      </c>
      <c r="L422" s="78"/>
      <c r="M422" s="78">
        <f t="shared" si="444"/>
        <v>732</v>
      </c>
      <c r="N422" s="78"/>
      <c r="O422" s="78">
        <f t="shared" si="445"/>
        <v>732</v>
      </c>
      <c r="P422" s="78"/>
      <c r="Q422" s="78">
        <f t="shared" si="446"/>
        <v>732</v>
      </c>
      <c r="R422" s="78"/>
      <c r="S422" s="78">
        <f t="shared" si="447"/>
        <v>732</v>
      </c>
      <c r="T422" s="78"/>
      <c r="U422" s="78">
        <f t="shared" si="448"/>
        <v>732</v>
      </c>
      <c r="V422" s="78"/>
      <c r="W422" s="78">
        <f t="shared" si="449"/>
        <v>732</v>
      </c>
      <c r="X422" s="78"/>
      <c r="Y422" s="78">
        <f t="shared" si="450"/>
        <v>732</v>
      </c>
      <c r="Z422" s="78"/>
      <c r="AA422" s="78">
        <f t="shared" si="451"/>
        <v>732</v>
      </c>
      <c r="AB422" s="78"/>
      <c r="AC422" s="78">
        <f t="shared" si="452"/>
        <v>732</v>
      </c>
      <c r="AD422" s="78"/>
      <c r="AE422" s="78">
        <f t="shared" si="453"/>
        <v>732</v>
      </c>
      <c r="AF422" s="78"/>
      <c r="AG422" s="78">
        <f t="shared" si="454"/>
        <v>732</v>
      </c>
      <c r="AH422" s="78"/>
      <c r="AI422" s="78">
        <f t="shared" si="455"/>
        <v>732</v>
      </c>
      <c r="AJ422" s="78"/>
      <c r="AK422" s="78">
        <f t="shared" si="456"/>
        <v>732</v>
      </c>
      <c r="AL422" s="78"/>
      <c r="AM422" s="78">
        <f t="shared" si="457"/>
        <v>732</v>
      </c>
    </row>
    <row r="423" spans="1:39" s="23" customFormat="1" ht="45">
      <c r="A423" s="64"/>
      <c r="B423" s="79"/>
      <c r="C423" s="83">
        <v>4370</v>
      </c>
      <c r="D423" s="37" t="s">
        <v>362</v>
      </c>
      <c r="E423" s="78">
        <f>2500+6000+480</f>
        <v>8980</v>
      </c>
      <c r="F423" s="78"/>
      <c r="G423" s="78">
        <f t="shared" si="441"/>
        <v>8980</v>
      </c>
      <c r="H423" s="78"/>
      <c r="I423" s="78">
        <f t="shared" si="442"/>
        <v>8980</v>
      </c>
      <c r="J423" s="78"/>
      <c r="K423" s="78">
        <f t="shared" si="443"/>
        <v>8980</v>
      </c>
      <c r="L423" s="78"/>
      <c r="M423" s="78">
        <f t="shared" si="444"/>
        <v>8980</v>
      </c>
      <c r="N423" s="78"/>
      <c r="O423" s="78">
        <f t="shared" si="445"/>
        <v>8980</v>
      </c>
      <c r="P423" s="78"/>
      <c r="Q423" s="78">
        <f t="shared" si="446"/>
        <v>8980</v>
      </c>
      <c r="R423" s="78"/>
      <c r="S423" s="78">
        <f t="shared" si="447"/>
        <v>8980</v>
      </c>
      <c r="T423" s="78"/>
      <c r="U423" s="78">
        <f t="shared" si="448"/>
        <v>8980</v>
      </c>
      <c r="V423" s="78"/>
      <c r="W423" s="78">
        <f t="shared" si="449"/>
        <v>8980</v>
      </c>
      <c r="X423" s="78"/>
      <c r="Y423" s="78">
        <f t="shared" si="450"/>
        <v>8980</v>
      </c>
      <c r="Z423" s="78"/>
      <c r="AA423" s="78">
        <f t="shared" si="451"/>
        <v>8980</v>
      </c>
      <c r="AB423" s="78"/>
      <c r="AC423" s="78">
        <f t="shared" si="452"/>
        <v>8980</v>
      </c>
      <c r="AD423" s="78"/>
      <c r="AE423" s="78">
        <f t="shared" si="453"/>
        <v>8980</v>
      </c>
      <c r="AF423" s="78"/>
      <c r="AG423" s="78">
        <f t="shared" si="454"/>
        <v>8980</v>
      </c>
      <c r="AH423" s="78"/>
      <c r="AI423" s="78">
        <f t="shared" si="455"/>
        <v>8980</v>
      </c>
      <c r="AJ423" s="78"/>
      <c r="AK423" s="78">
        <f t="shared" si="456"/>
        <v>8980</v>
      </c>
      <c r="AL423" s="78">
        <v>-1100</v>
      </c>
      <c r="AM423" s="78">
        <f t="shared" si="457"/>
        <v>7880</v>
      </c>
    </row>
    <row r="424" spans="1:39" s="23" customFormat="1" ht="32.25" customHeight="1">
      <c r="A424" s="64"/>
      <c r="B424" s="79"/>
      <c r="C424" s="83">
        <v>4400</v>
      </c>
      <c r="D424" s="37" t="s">
        <v>226</v>
      </c>
      <c r="E424" s="78">
        <f>2110+58055+13697</f>
        <v>73862</v>
      </c>
      <c r="F424" s="78"/>
      <c r="G424" s="78">
        <f t="shared" si="441"/>
        <v>73862</v>
      </c>
      <c r="H424" s="78"/>
      <c r="I424" s="78">
        <f t="shared" si="442"/>
        <v>73862</v>
      </c>
      <c r="J424" s="78"/>
      <c r="K424" s="78">
        <f t="shared" si="443"/>
        <v>73862</v>
      </c>
      <c r="L424" s="78"/>
      <c r="M424" s="78">
        <f t="shared" si="444"/>
        <v>73862</v>
      </c>
      <c r="N424" s="78"/>
      <c r="O424" s="78">
        <f t="shared" si="445"/>
        <v>73862</v>
      </c>
      <c r="P424" s="78"/>
      <c r="Q424" s="78">
        <f t="shared" si="446"/>
        <v>73862</v>
      </c>
      <c r="R424" s="78"/>
      <c r="S424" s="78">
        <f t="shared" si="447"/>
        <v>73862</v>
      </c>
      <c r="T424" s="78"/>
      <c r="U424" s="78">
        <f t="shared" si="448"/>
        <v>73862</v>
      </c>
      <c r="V424" s="78"/>
      <c r="W424" s="78">
        <f t="shared" si="449"/>
        <v>73862</v>
      </c>
      <c r="X424" s="78"/>
      <c r="Y424" s="78">
        <f t="shared" si="450"/>
        <v>73862</v>
      </c>
      <c r="Z424" s="78"/>
      <c r="AA424" s="78">
        <f t="shared" si="451"/>
        <v>73862</v>
      </c>
      <c r="AB424" s="78"/>
      <c r="AC424" s="78">
        <f t="shared" si="452"/>
        <v>73862</v>
      </c>
      <c r="AD424" s="78"/>
      <c r="AE424" s="78">
        <f t="shared" si="453"/>
        <v>73862</v>
      </c>
      <c r="AF424" s="78"/>
      <c r="AG424" s="78">
        <f t="shared" si="454"/>
        <v>73862</v>
      </c>
      <c r="AH424" s="78"/>
      <c r="AI424" s="78">
        <f t="shared" si="455"/>
        <v>73862</v>
      </c>
      <c r="AJ424" s="78"/>
      <c r="AK424" s="78">
        <f t="shared" si="456"/>
        <v>73862</v>
      </c>
      <c r="AL424" s="78"/>
      <c r="AM424" s="78">
        <f t="shared" si="457"/>
        <v>73862</v>
      </c>
    </row>
    <row r="425" spans="1:39" s="23" customFormat="1" ht="21" customHeight="1">
      <c r="A425" s="64"/>
      <c r="B425" s="79"/>
      <c r="C425" s="83">
        <v>4410</v>
      </c>
      <c r="D425" s="37" t="s">
        <v>89</v>
      </c>
      <c r="E425" s="78">
        <f>200+14518</f>
        <v>14718</v>
      </c>
      <c r="F425" s="78"/>
      <c r="G425" s="78">
        <f t="shared" si="441"/>
        <v>14718</v>
      </c>
      <c r="H425" s="78"/>
      <c r="I425" s="78">
        <f t="shared" si="442"/>
        <v>14718</v>
      </c>
      <c r="J425" s="78"/>
      <c r="K425" s="78">
        <f t="shared" si="443"/>
        <v>14718</v>
      </c>
      <c r="L425" s="78"/>
      <c r="M425" s="78">
        <f t="shared" si="444"/>
        <v>14718</v>
      </c>
      <c r="N425" s="78"/>
      <c r="O425" s="78">
        <f t="shared" si="445"/>
        <v>14718</v>
      </c>
      <c r="P425" s="78"/>
      <c r="Q425" s="78">
        <f t="shared" si="446"/>
        <v>14718</v>
      </c>
      <c r="R425" s="78"/>
      <c r="S425" s="78">
        <f t="shared" si="447"/>
        <v>14718</v>
      </c>
      <c r="T425" s="78"/>
      <c r="U425" s="78">
        <f t="shared" si="448"/>
        <v>14718</v>
      </c>
      <c r="V425" s="78"/>
      <c r="W425" s="78">
        <f t="shared" si="449"/>
        <v>14718</v>
      </c>
      <c r="X425" s="78"/>
      <c r="Y425" s="78">
        <f t="shared" si="450"/>
        <v>14718</v>
      </c>
      <c r="Z425" s="78"/>
      <c r="AA425" s="78">
        <f t="shared" si="451"/>
        <v>14718</v>
      </c>
      <c r="AB425" s="78"/>
      <c r="AC425" s="78">
        <f t="shared" si="452"/>
        <v>14718</v>
      </c>
      <c r="AD425" s="78"/>
      <c r="AE425" s="78">
        <f t="shared" si="453"/>
        <v>14718</v>
      </c>
      <c r="AF425" s="78"/>
      <c r="AG425" s="78">
        <f t="shared" si="454"/>
        <v>14718</v>
      </c>
      <c r="AH425" s="78"/>
      <c r="AI425" s="78">
        <f t="shared" si="455"/>
        <v>14718</v>
      </c>
      <c r="AJ425" s="78"/>
      <c r="AK425" s="78">
        <f t="shared" si="456"/>
        <v>14718</v>
      </c>
      <c r="AL425" s="78">
        <v>132</v>
      </c>
      <c r="AM425" s="78">
        <f t="shared" si="457"/>
        <v>14850</v>
      </c>
    </row>
    <row r="426" spans="1:39" s="23" customFormat="1" ht="21" customHeight="1">
      <c r="A426" s="64"/>
      <c r="B426" s="79"/>
      <c r="C426" s="83">
        <v>4430</v>
      </c>
      <c r="D426" s="37" t="s">
        <v>93</v>
      </c>
      <c r="E426" s="78">
        <v>3470</v>
      </c>
      <c r="F426" s="78"/>
      <c r="G426" s="78">
        <f t="shared" si="441"/>
        <v>3470</v>
      </c>
      <c r="H426" s="78"/>
      <c r="I426" s="78">
        <f t="shared" si="442"/>
        <v>3470</v>
      </c>
      <c r="J426" s="78"/>
      <c r="K426" s="78">
        <f t="shared" si="443"/>
        <v>3470</v>
      </c>
      <c r="L426" s="78"/>
      <c r="M426" s="78">
        <f t="shared" si="444"/>
        <v>3470</v>
      </c>
      <c r="N426" s="78"/>
      <c r="O426" s="78">
        <f t="shared" si="445"/>
        <v>3470</v>
      </c>
      <c r="P426" s="78"/>
      <c r="Q426" s="78">
        <f t="shared" si="446"/>
        <v>3470</v>
      </c>
      <c r="R426" s="78"/>
      <c r="S426" s="78">
        <f t="shared" si="447"/>
        <v>3470</v>
      </c>
      <c r="T426" s="78"/>
      <c r="U426" s="78">
        <f t="shared" si="448"/>
        <v>3470</v>
      </c>
      <c r="V426" s="78"/>
      <c r="W426" s="78">
        <f t="shared" si="449"/>
        <v>3470</v>
      </c>
      <c r="X426" s="78"/>
      <c r="Y426" s="78">
        <f t="shared" si="450"/>
        <v>3470</v>
      </c>
      <c r="Z426" s="78"/>
      <c r="AA426" s="78">
        <f t="shared" si="451"/>
        <v>3470</v>
      </c>
      <c r="AB426" s="78"/>
      <c r="AC426" s="78">
        <f t="shared" si="452"/>
        <v>3470</v>
      </c>
      <c r="AD426" s="78"/>
      <c r="AE426" s="78">
        <f t="shared" si="453"/>
        <v>3470</v>
      </c>
      <c r="AF426" s="78"/>
      <c r="AG426" s="78">
        <f t="shared" si="454"/>
        <v>3470</v>
      </c>
      <c r="AH426" s="78"/>
      <c r="AI426" s="78">
        <f t="shared" si="455"/>
        <v>3470</v>
      </c>
      <c r="AJ426" s="78"/>
      <c r="AK426" s="78">
        <f t="shared" si="456"/>
        <v>3470</v>
      </c>
      <c r="AL426" s="78"/>
      <c r="AM426" s="78">
        <f t="shared" si="457"/>
        <v>3470</v>
      </c>
    </row>
    <row r="427" spans="1:39" s="23" customFormat="1" ht="21" customHeight="1">
      <c r="A427" s="64"/>
      <c r="B427" s="79"/>
      <c r="C427" s="83">
        <v>4440</v>
      </c>
      <c r="D427" s="37" t="s">
        <v>87</v>
      </c>
      <c r="E427" s="78">
        <f>1133+15000+4398+4622</f>
        <v>25153</v>
      </c>
      <c r="F427" s="78"/>
      <c r="G427" s="78">
        <f t="shared" si="441"/>
        <v>25153</v>
      </c>
      <c r="H427" s="78"/>
      <c r="I427" s="78">
        <f t="shared" si="442"/>
        <v>25153</v>
      </c>
      <c r="J427" s="78"/>
      <c r="K427" s="78">
        <f t="shared" si="443"/>
        <v>25153</v>
      </c>
      <c r="L427" s="78"/>
      <c r="M427" s="78">
        <f t="shared" si="444"/>
        <v>25153</v>
      </c>
      <c r="N427" s="78"/>
      <c r="O427" s="78">
        <f t="shared" si="445"/>
        <v>25153</v>
      </c>
      <c r="P427" s="78"/>
      <c r="Q427" s="78">
        <f t="shared" si="446"/>
        <v>25153</v>
      </c>
      <c r="R427" s="78"/>
      <c r="S427" s="78">
        <f t="shared" si="447"/>
        <v>25153</v>
      </c>
      <c r="T427" s="78"/>
      <c r="U427" s="78">
        <f t="shared" si="448"/>
        <v>25153</v>
      </c>
      <c r="V427" s="78"/>
      <c r="W427" s="78">
        <f t="shared" si="449"/>
        <v>25153</v>
      </c>
      <c r="X427" s="78"/>
      <c r="Y427" s="78">
        <f t="shared" si="450"/>
        <v>25153</v>
      </c>
      <c r="Z427" s="78"/>
      <c r="AA427" s="78">
        <f t="shared" si="451"/>
        <v>25153</v>
      </c>
      <c r="AB427" s="78"/>
      <c r="AC427" s="78">
        <f t="shared" si="452"/>
        <v>25153</v>
      </c>
      <c r="AD427" s="78"/>
      <c r="AE427" s="78">
        <f t="shared" si="453"/>
        <v>25153</v>
      </c>
      <c r="AF427" s="78"/>
      <c r="AG427" s="78">
        <f t="shared" si="454"/>
        <v>25153</v>
      </c>
      <c r="AH427" s="78"/>
      <c r="AI427" s="78">
        <f t="shared" si="455"/>
        <v>25153</v>
      </c>
      <c r="AJ427" s="78"/>
      <c r="AK427" s="78">
        <f t="shared" si="456"/>
        <v>25153</v>
      </c>
      <c r="AL427" s="78">
        <v>-43</v>
      </c>
      <c r="AM427" s="78">
        <f t="shared" si="457"/>
        <v>25110</v>
      </c>
    </row>
    <row r="428" spans="1:39" s="23" customFormat="1" ht="22.5">
      <c r="A428" s="64"/>
      <c r="B428" s="79"/>
      <c r="C428" s="83">
        <v>4610</v>
      </c>
      <c r="D428" s="37" t="s">
        <v>180</v>
      </c>
      <c r="E428" s="78">
        <f>1200+600</f>
        <v>1800</v>
      </c>
      <c r="F428" s="78"/>
      <c r="G428" s="78">
        <f t="shared" si="441"/>
        <v>1800</v>
      </c>
      <c r="H428" s="78"/>
      <c r="I428" s="78">
        <f t="shared" si="442"/>
        <v>1800</v>
      </c>
      <c r="J428" s="78"/>
      <c r="K428" s="78">
        <f t="shared" si="443"/>
        <v>1800</v>
      </c>
      <c r="L428" s="78"/>
      <c r="M428" s="78">
        <f t="shared" si="444"/>
        <v>1800</v>
      </c>
      <c r="N428" s="78"/>
      <c r="O428" s="78">
        <f t="shared" si="445"/>
        <v>1800</v>
      </c>
      <c r="P428" s="78"/>
      <c r="Q428" s="78">
        <f t="shared" si="446"/>
        <v>1800</v>
      </c>
      <c r="R428" s="78"/>
      <c r="S428" s="78">
        <f t="shared" si="447"/>
        <v>1800</v>
      </c>
      <c r="T428" s="78"/>
      <c r="U428" s="78">
        <f t="shared" si="448"/>
        <v>1800</v>
      </c>
      <c r="V428" s="78"/>
      <c r="W428" s="78">
        <f t="shared" si="449"/>
        <v>1800</v>
      </c>
      <c r="X428" s="78"/>
      <c r="Y428" s="78">
        <f t="shared" si="450"/>
        <v>1800</v>
      </c>
      <c r="Z428" s="78"/>
      <c r="AA428" s="78">
        <f t="shared" si="451"/>
        <v>1800</v>
      </c>
      <c r="AB428" s="78"/>
      <c r="AC428" s="78">
        <f t="shared" si="452"/>
        <v>1800</v>
      </c>
      <c r="AD428" s="78"/>
      <c r="AE428" s="78">
        <f t="shared" si="453"/>
        <v>1800</v>
      </c>
      <c r="AF428" s="78"/>
      <c r="AG428" s="78">
        <f t="shared" si="454"/>
        <v>1800</v>
      </c>
      <c r="AH428" s="78"/>
      <c r="AI428" s="78">
        <f t="shared" si="455"/>
        <v>1800</v>
      </c>
      <c r="AJ428" s="78"/>
      <c r="AK428" s="78">
        <f t="shared" si="456"/>
        <v>1800</v>
      </c>
      <c r="AL428" s="78">
        <v>-960</v>
      </c>
      <c r="AM428" s="78">
        <f t="shared" si="457"/>
        <v>840</v>
      </c>
    </row>
    <row r="429" spans="1:39" s="23" customFormat="1" ht="30.75" customHeight="1">
      <c r="A429" s="64"/>
      <c r="B429" s="79"/>
      <c r="C429" s="83">
        <v>4700</v>
      </c>
      <c r="D429" s="37" t="s">
        <v>234</v>
      </c>
      <c r="E429" s="78">
        <f>2000+6000</f>
        <v>8000</v>
      </c>
      <c r="F429" s="78"/>
      <c r="G429" s="78">
        <f t="shared" si="441"/>
        <v>8000</v>
      </c>
      <c r="H429" s="78"/>
      <c r="I429" s="78">
        <f t="shared" si="442"/>
        <v>8000</v>
      </c>
      <c r="J429" s="78"/>
      <c r="K429" s="78">
        <f t="shared" si="443"/>
        <v>8000</v>
      </c>
      <c r="L429" s="78"/>
      <c r="M429" s="78">
        <f t="shared" si="444"/>
        <v>8000</v>
      </c>
      <c r="N429" s="78"/>
      <c r="O429" s="78">
        <f t="shared" si="445"/>
        <v>8000</v>
      </c>
      <c r="P429" s="78"/>
      <c r="Q429" s="78">
        <f t="shared" si="446"/>
        <v>8000</v>
      </c>
      <c r="R429" s="78"/>
      <c r="S429" s="78">
        <f t="shared" si="447"/>
        <v>8000</v>
      </c>
      <c r="T429" s="78"/>
      <c r="U429" s="78">
        <f t="shared" si="448"/>
        <v>8000</v>
      </c>
      <c r="V429" s="78"/>
      <c r="W429" s="78">
        <f t="shared" si="449"/>
        <v>8000</v>
      </c>
      <c r="X429" s="78"/>
      <c r="Y429" s="78">
        <f t="shared" si="450"/>
        <v>8000</v>
      </c>
      <c r="Z429" s="78"/>
      <c r="AA429" s="78">
        <f t="shared" si="451"/>
        <v>8000</v>
      </c>
      <c r="AB429" s="78"/>
      <c r="AC429" s="78">
        <f t="shared" si="452"/>
        <v>8000</v>
      </c>
      <c r="AD429" s="78"/>
      <c r="AE429" s="78">
        <f t="shared" si="453"/>
        <v>8000</v>
      </c>
      <c r="AF429" s="78"/>
      <c r="AG429" s="78">
        <f t="shared" si="454"/>
        <v>8000</v>
      </c>
      <c r="AH429" s="78"/>
      <c r="AI429" s="78">
        <f t="shared" si="455"/>
        <v>8000</v>
      </c>
      <c r="AJ429" s="78"/>
      <c r="AK429" s="78">
        <f t="shared" si="456"/>
        <v>8000</v>
      </c>
      <c r="AL429" s="78">
        <v>-750</v>
      </c>
      <c r="AM429" s="78">
        <f t="shared" si="457"/>
        <v>7250</v>
      </c>
    </row>
    <row r="430" spans="1:39" s="23" customFormat="1" ht="32.25" customHeight="1">
      <c r="A430" s="64"/>
      <c r="B430" s="79"/>
      <c r="C430" s="83">
        <v>4740</v>
      </c>
      <c r="D430" s="37" t="s">
        <v>249</v>
      </c>
      <c r="E430" s="78">
        <f>130+1600</f>
        <v>1730</v>
      </c>
      <c r="F430" s="78"/>
      <c r="G430" s="78">
        <f t="shared" si="441"/>
        <v>1730</v>
      </c>
      <c r="H430" s="78"/>
      <c r="I430" s="78">
        <f t="shared" si="442"/>
        <v>1730</v>
      </c>
      <c r="J430" s="78"/>
      <c r="K430" s="78">
        <f t="shared" si="443"/>
        <v>1730</v>
      </c>
      <c r="L430" s="78"/>
      <c r="M430" s="78">
        <f t="shared" si="444"/>
        <v>1730</v>
      </c>
      <c r="N430" s="78"/>
      <c r="O430" s="78">
        <f t="shared" si="445"/>
        <v>1730</v>
      </c>
      <c r="P430" s="78"/>
      <c r="Q430" s="78">
        <f t="shared" si="446"/>
        <v>1730</v>
      </c>
      <c r="R430" s="78"/>
      <c r="S430" s="78">
        <f t="shared" si="447"/>
        <v>1730</v>
      </c>
      <c r="T430" s="78"/>
      <c r="U430" s="78">
        <f t="shared" si="448"/>
        <v>1730</v>
      </c>
      <c r="V430" s="78"/>
      <c r="W430" s="78">
        <f t="shared" si="449"/>
        <v>1730</v>
      </c>
      <c r="X430" s="78"/>
      <c r="Y430" s="78">
        <f t="shared" si="450"/>
        <v>1730</v>
      </c>
      <c r="Z430" s="78"/>
      <c r="AA430" s="78">
        <f t="shared" si="451"/>
        <v>1730</v>
      </c>
      <c r="AB430" s="78"/>
      <c r="AC430" s="78">
        <f t="shared" si="452"/>
        <v>1730</v>
      </c>
      <c r="AD430" s="78"/>
      <c r="AE430" s="78">
        <f t="shared" si="453"/>
        <v>1730</v>
      </c>
      <c r="AF430" s="78"/>
      <c r="AG430" s="78">
        <f t="shared" si="454"/>
        <v>1730</v>
      </c>
      <c r="AH430" s="78"/>
      <c r="AI430" s="78">
        <f t="shared" si="455"/>
        <v>1730</v>
      </c>
      <c r="AJ430" s="78"/>
      <c r="AK430" s="78">
        <f t="shared" si="456"/>
        <v>1730</v>
      </c>
      <c r="AL430" s="78"/>
      <c r="AM430" s="78">
        <f t="shared" si="457"/>
        <v>1730</v>
      </c>
    </row>
    <row r="431" spans="1:39" s="23" customFormat="1" ht="28.5" customHeight="1">
      <c r="A431" s="64"/>
      <c r="B431" s="79"/>
      <c r="C431" s="83">
        <v>4750</v>
      </c>
      <c r="D431" s="37" t="s">
        <v>237</v>
      </c>
      <c r="E431" s="78">
        <f>700+5760</f>
        <v>6460</v>
      </c>
      <c r="F431" s="78"/>
      <c r="G431" s="78">
        <f t="shared" si="441"/>
        <v>6460</v>
      </c>
      <c r="H431" s="78"/>
      <c r="I431" s="78">
        <f t="shared" si="442"/>
        <v>6460</v>
      </c>
      <c r="J431" s="78"/>
      <c r="K431" s="78">
        <f t="shared" si="443"/>
        <v>6460</v>
      </c>
      <c r="L431" s="78"/>
      <c r="M431" s="78">
        <f t="shared" si="444"/>
        <v>6460</v>
      </c>
      <c r="N431" s="78"/>
      <c r="O431" s="78">
        <f t="shared" si="445"/>
        <v>6460</v>
      </c>
      <c r="P431" s="78"/>
      <c r="Q431" s="78">
        <f t="shared" si="446"/>
        <v>6460</v>
      </c>
      <c r="R431" s="78"/>
      <c r="S431" s="78">
        <f t="shared" si="447"/>
        <v>6460</v>
      </c>
      <c r="T431" s="78"/>
      <c r="U431" s="78">
        <f t="shared" si="448"/>
        <v>6460</v>
      </c>
      <c r="V431" s="78"/>
      <c r="W431" s="78">
        <f t="shared" si="449"/>
        <v>6460</v>
      </c>
      <c r="X431" s="78"/>
      <c r="Y431" s="78">
        <f t="shared" si="450"/>
        <v>6460</v>
      </c>
      <c r="Z431" s="78"/>
      <c r="AA431" s="78">
        <f t="shared" si="451"/>
        <v>6460</v>
      </c>
      <c r="AB431" s="78"/>
      <c r="AC431" s="78">
        <f t="shared" si="452"/>
        <v>6460</v>
      </c>
      <c r="AD431" s="78"/>
      <c r="AE431" s="78">
        <f t="shared" si="453"/>
        <v>6460</v>
      </c>
      <c r="AF431" s="78"/>
      <c r="AG431" s="78">
        <f t="shared" si="454"/>
        <v>6460</v>
      </c>
      <c r="AH431" s="78"/>
      <c r="AI431" s="78">
        <f t="shared" si="455"/>
        <v>6460</v>
      </c>
      <c r="AJ431" s="78"/>
      <c r="AK431" s="78">
        <f t="shared" si="456"/>
        <v>6460</v>
      </c>
      <c r="AL431" s="78"/>
      <c r="AM431" s="78">
        <f t="shared" si="457"/>
        <v>6460</v>
      </c>
    </row>
    <row r="432" spans="1:39" s="23" customFormat="1" ht="21" customHeight="1">
      <c r="A432" s="64"/>
      <c r="B432" s="79">
        <v>85228</v>
      </c>
      <c r="C432" s="83"/>
      <c r="D432" s="37" t="s">
        <v>120</v>
      </c>
      <c r="E432" s="78">
        <f aca="true" t="shared" si="458" ref="E432:AM432">SUM(E433)</f>
        <v>150000</v>
      </c>
      <c r="F432" s="78">
        <f t="shared" si="458"/>
        <v>0</v>
      </c>
      <c r="G432" s="78">
        <f t="shared" si="458"/>
        <v>150000</v>
      </c>
      <c r="H432" s="78">
        <f t="shared" si="458"/>
        <v>0</v>
      </c>
      <c r="I432" s="78">
        <f t="shared" si="458"/>
        <v>150000</v>
      </c>
      <c r="J432" s="78">
        <f t="shared" si="458"/>
        <v>0</v>
      </c>
      <c r="K432" s="78">
        <f t="shared" si="458"/>
        <v>150000</v>
      </c>
      <c r="L432" s="78">
        <f t="shared" si="458"/>
        <v>0</v>
      </c>
      <c r="M432" s="78">
        <f t="shared" si="458"/>
        <v>150000</v>
      </c>
      <c r="N432" s="78">
        <f t="shared" si="458"/>
        <v>0</v>
      </c>
      <c r="O432" s="78">
        <f t="shared" si="458"/>
        <v>150000</v>
      </c>
      <c r="P432" s="78">
        <f t="shared" si="458"/>
        <v>0</v>
      </c>
      <c r="Q432" s="78">
        <f t="shared" si="458"/>
        <v>150000</v>
      </c>
      <c r="R432" s="78">
        <f t="shared" si="458"/>
        <v>0</v>
      </c>
      <c r="S432" s="78">
        <f t="shared" si="458"/>
        <v>150000</v>
      </c>
      <c r="T432" s="78">
        <f t="shared" si="458"/>
        <v>0</v>
      </c>
      <c r="U432" s="78">
        <f t="shared" si="458"/>
        <v>150000</v>
      </c>
      <c r="V432" s="78">
        <f t="shared" si="458"/>
        <v>0</v>
      </c>
      <c r="W432" s="78">
        <f t="shared" si="458"/>
        <v>150000</v>
      </c>
      <c r="X432" s="78">
        <f t="shared" si="458"/>
        <v>0</v>
      </c>
      <c r="Y432" s="78">
        <f t="shared" si="458"/>
        <v>150000</v>
      </c>
      <c r="Z432" s="78">
        <f t="shared" si="458"/>
        <v>0</v>
      </c>
      <c r="AA432" s="78">
        <f t="shared" si="458"/>
        <v>150000</v>
      </c>
      <c r="AB432" s="78">
        <f t="shared" si="458"/>
        <v>0</v>
      </c>
      <c r="AC432" s="78">
        <f t="shared" si="458"/>
        <v>150000</v>
      </c>
      <c r="AD432" s="78">
        <f t="shared" si="458"/>
        <v>0</v>
      </c>
      <c r="AE432" s="78">
        <f t="shared" si="458"/>
        <v>150000</v>
      </c>
      <c r="AF432" s="78">
        <f t="shared" si="458"/>
        <v>0</v>
      </c>
      <c r="AG432" s="78">
        <f t="shared" si="458"/>
        <v>150000</v>
      </c>
      <c r="AH432" s="78">
        <f t="shared" si="458"/>
        <v>0</v>
      </c>
      <c r="AI432" s="78">
        <f t="shared" si="458"/>
        <v>150000</v>
      </c>
      <c r="AJ432" s="78">
        <f t="shared" si="458"/>
        <v>8000</v>
      </c>
      <c r="AK432" s="78">
        <f t="shared" si="458"/>
        <v>158000</v>
      </c>
      <c r="AL432" s="78">
        <f t="shared" si="458"/>
        <v>0</v>
      </c>
      <c r="AM432" s="78">
        <f t="shared" si="458"/>
        <v>158000</v>
      </c>
    </row>
    <row r="433" spans="1:39" s="23" customFormat="1" ht="21" customHeight="1">
      <c r="A433" s="64"/>
      <c r="B433" s="79"/>
      <c r="C433" s="83">
        <v>4300</v>
      </c>
      <c r="D433" s="37" t="s">
        <v>78</v>
      </c>
      <c r="E433" s="78">
        <v>150000</v>
      </c>
      <c r="F433" s="78"/>
      <c r="G433" s="78">
        <f>SUM(E433:F433)</f>
        <v>150000</v>
      </c>
      <c r="H433" s="78"/>
      <c r="I433" s="78">
        <f>SUM(G433:H433)</f>
        <v>150000</v>
      </c>
      <c r="J433" s="78"/>
      <c r="K433" s="78">
        <f>SUM(I433:J433)</f>
        <v>150000</v>
      </c>
      <c r="L433" s="78"/>
      <c r="M433" s="78">
        <f>SUM(K433:L433)</f>
        <v>150000</v>
      </c>
      <c r="N433" s="78"/>
      <c r="O433" s="78">
        <f>SUM(M433:N433)</f>
        <v>150000</v>
      </c>
      <c r="P433" s="78"/>
      <c r="Q433" s="78">
        <f>SUM(O433:P433)</f>
        <v>150000</v>
      </c>
      <c r="R433" s="78"/>
      <c r="S433" s="78">
        <f>SUM(Q433:R433)</f>
        <v>150000</v>
      </c>
      <c r="T433" s="78"/>
      <c r="U433" s="78">
        <f>SUM(S433:T433)</f>
        <v>150000</v>
      </c>
      <c r="V433" s="78"/>
      <c r="W433" s="78">
        <f>SUM(U433:V433)</f>
        <v>150000</v>
      </c>
      <c r="X433" s="78"/>
      <c r="Y433" s="78">
        <f>SUM(W433:X433)</f>
        <v>150000</v>
      </c>
      <c r="Z433" s="78"/>
      <c r="AA433" s="78">
        <f>SUM(Y433:Z433)</f>
        <v>150000</v>
      </c>
      <c r="AB433" s="78"/>
      <c r="AC433" s="78">
        <f>SUM(AA433:AB433)</f>
        <v>150000</v>
      </c>
      <c r="AD433" s="78"/>
      <c r="AE433" s="78">
        <f>SUM(AC433:AD433)</f>
        <v>150000</v>
      </c>
      <c r="AF433" s="78"/>
      <c r="AG433" s="78">
        <f>SUM(AE433:AF433)</f>
        <v>150000</v>
      </c>
      <c r="AH433" s="78"/>
      <c r="AI433" s="78">
        <f>SUM(AG433:AH433)</f>
        <v>150000</v>
      </c>
      <c r="AJ433" s="78">
        <v>8000</v>
      </c>
      <c r="AK433" s="78">
        <f>SUM(AI433:AJ433)</f>
        <v>158000</v>
      </c>
      <c r="AL433" s="78"/>
      <c r="AM433" s="78">
        <f>SUM(AK433:AL433)</f>
        <v>158000</v>
      </c>
    </row>
    <row r="434" spans="1:39" s="23" customFormat="1" ht="21" customHeight="1">
      <c r="A434" s="64"/>
      <c r="B434" s="79" t="s">
        <v>155</v>
      </c>
      <c r="C434" s="83"/>
      <c r="D434" s="37" t="s">
        <v>6</v>
      </c>
      <c r="E434" s="78">
        <f aca="true" t="shared" si="459" ref="E434:W434">SUM(E435:E436)</f>
        <v>265520</v>
      </c>
      <c r="F434" s="78">
        <f t="shared" si="459"/>
        <v>0</v>
      </c>
      <c r="G434" s="78">
        <f t="shared" si="459"/>
        <v>265520</v>
      </c>
      <c r="H434" s="78">
        <f t="shared" si="459"/>
        <v>530000</v>
      </c>
      <c r="I434" s="78">
        <f t="shared" si="459"/>
        <v>795520</v>
      </c>
      <c r="J434" s="78">
        <f t="shared" si="459"/>
        <v>0</v>
      </c>
      <c r="K434" s="78">
        <f t="shared" si="459"/>
        <v>795520</v>
      </c>
      <c r="L434" s="78">
        <f t="shared" si="459"/>
        <v>0</v>
      </c>
      <c r="M434" s="78">
        <f t="shared" si="459"/>
        <v>795520</v>
      </c>
      <c r="N434" s="78">
        <f t="shared" si="459"/>
        <v>0</v>
      </c>
      <c r="O434" s="78">
        <f t="shared" si="459"/>
        <v>795520</v>
      </c>
      <c r="P434" s="78">
        <f t="shared" si="459"/>
        <v>69400</v>
      </c>
      <c r="Q434" s="78">
        <f t="shared" si="459"/>
        <v>864920</v>
      </c>
      <c r="R434" s="78">
        <f t="shared" si="459"/>
        <v>0</v>
      </c>
      <c r="S434" s="78">
        <f t="shared" si="459"/>
        <v>864920</v>
      </c>
      <c r="T434" s="78">
        <f t="shared" si="459"/>
        <v>0</v>
      </c>
      <c r="U434" s="78">
        <f t="shared" si="459"/>
        <v>864920</v>
      </c>
      <c r="V434" s="78">
        <f t="shared" si="459"/>
        <v>0</v>
      </c>
      <c r="W434" s="78">
        <f t="shared" si="459"/>
        <v>864920</v>
      </c>
      <c r="X434" s="78">
        <f aca="true" t="shared" si="460" ref="X434:AC434">SUM(X435:X436)</f>
        <v>0</v>
      </c>
      <c r="Y434" s="78">
        <f t="shared" si="460"/>
        <v>864920</v>
      </c>
      <c r="Z434" s="78">
        <f t="shared" si="460"/>
        <v>0</v>
      </c>
      <c r="AA434" s="78">
        <f t="shared" si="460"/>
        <v>864920</v>
      </c>
      <c r="AB434" s="78">
        <f t="shared" si="460"/>
        <v>0</v>
      </c>
      <c r="AC434" s="78">
        <f t="shared" si="460"/>
        <v>864920</v>
      </c>
      <c r="AD434" s="78">
        <f aca="true" t="shared" si="461" ref="AD434:AI434">SUM(AD435:AD436)</f>
        <v>344381</v>
      </c>
      <c r="AE434" s="78">
        <f t="shared" si="461"/>
        <v>1209301</v>
      </c>
      <c r="AF434" s="78">
        <f t="shared" si="461"/>
        <v>0</v>
      </c>
      <c r="AG434" s="78">
        <f t="shared" si="461"/>
        <v>1209301</v>
      </c>
      <c r="AH434" s="78">
        <f t="shared" si="461"/>
        <v>0</v>
      </c>
      <c r="AI434" s="78">
        <f t="shared" si="461"/>
        <v>1209301</v>
      </c>
      <c r="AJ434" s="78">
        <f>SUM(AJ435:AJ436)</f>
        <v>104838</v>
      </c>
      <c r="AK434" s="78">
        <f>SUM(AK435:AK436)</f>
        <v>1314139</v>
      </c>
      <c r="AL434" s="78">
        <f>SUM(AL435:AL436)</f>
        <v>0</v>
      </c>
      <c r="AM434" s="78">
        <f>SUM(AM435:AM436)</f>
        <v>1314139</v>
      </c>
    </row>
    <row r="435" spans="1:39" s="23" customFormat="1" ht="21" customHeight="1">
      <c r="A435" s="64"/>
      <c r="B435" s="79"/>
      <c r="C435" s="83">
        <v>3110</v>
      </c>
      <c r="D435" s="37" t="s">
        <v>111</v>
      </c>
      <c r="E435" s="68">
        <f>250000+10000</f>
        <v>260000</v>
      </c>
      <c r="F435" s="68"/>
      <c r="G435" s="68">
        <f>SUM(E435:F435)</f>
        <v>260000</v>
      </c>
      <c r="H435" s="68">
        <v>530000</v>
      </c>
      <c r="I435" s="68">
        <f>SUM(G435:H435)</f>
        <v>790000</v>
      </c>
      <c r="J435" s="68"/>
      <c r="K435" s="68">
        <f>SUM(I435:J435)</f>
        <v>790000</v>
      </c>
      <c r="L435" s="68"/>
      <c r="M435" s="68">
        <f>SUM(K435:L435)</f>
        <v>790000</v>
      </c>
      <c r="N435" s="68"/>
      <c r="O435" s="68">
        <f>SUM(M435:N435)</f>
        <v>790000</v>
      </c>
      <c r="P435" s="68">
        <v>69400</v>
      </c>
      <c r="Q435" s="68">
        <f>SUM(O435:P435)</f>
        <v>859400</v>
      </c>
      <c r="R435" s="68"/>
      <c r="S435" s="68">
        <f>SUM(Q435:R435)</f>
        <v>859400</v>
      </c>
      <c r="T435" s="68"/>
      <c r="U435" s="68">
        <f>SUM(S435:T435)</f>
        <v>859400</v>
      </c>
      <c r="V435" s="68"/>
      <c r="W435" s="68">
        <f>SUM(U435:V435)</f>
        <v>859400</v>
      </c>
      <c r="X435" s="68"/>
      <c r="Y435" s="68">
        <f>SUM(W435:X435)</f>
        <v>859400</v>
      </c>
      <c r="Z435" s="68"/>
      <c r="AA435" s="68">
        <f>SUM(Y435:Z435)</f>
        <v>859400</v>
      </c>
      <c r="AB435" s="68"/>
      <c r="AC435" s="68">
        <f>SUM(AA435:AB435)</f>
        <v>859400</v>
      </c>
      <c r="AD435" s="68">
        <f>334381+10000</f>
        <v>344381</v>
      </c>
      <c r="AE435" s="68">
        <f>SUM(AC435:AD435)</f>
        <v>1203781</v>
      </c>
      <c r="AF435" s="68"/>
      <c r="AG435" s="68">
        <f>SUM(AE435:AF435)</f>
        <v>1203781</v>
      </c>
      <c r="AH435" s="68"/>
      <c r="AI435" s="68">
        <f>SUM(AG435:AH435)</f>
        <v>1203781</v>
      </c>
      <c r="AJ435" s="68">
        <v>104838</v>
      </c>
      <c r="AK435" s="68">
        <f>SUM(AI435:AJ435)</f>
        <v>1308619</v>
      </c>
      <c r="AL435" s="68"/>
      <c r="AM435" s="68">
        <f>SUM(AK435:AL435)</f>
        <v>1308619</v>
      </c>
    </row>
    <row r="436" spans="1:39" s="23" customFormat="1" ht="21" customHeight="1">
      <c r="A436" s="64"/>
      <c r="B436" s="79"/>
      <c r="C436" s="83">
        <v>4430</v>
      </c>
      <c r="D436" s="37" t="s">
        <v>93</v>
      </c>
      <c r="E436" s="78">
        <v>5520</v>
      </c>
      <c r="F436" s="78"/>
      <c r="G436" s="68">
        <f>SUM(E436:F436)</f>
        <v>5520</v>
      </c>
      <c r="H436" s="78"/>
      <c r="I436" s="68">
        <f>SUM(G436:H436)</f>
        <v>5520</v>
      </c>
      <c r="J436" s="78"/>
      <c r="K436" s="68">
        <f>SUM(I436:J436)</f>
        <v>5520</v>
      </c>
      <c r="L436" s="78"/>
      <c r="M436" s="68">
        <f>SUM(K436:L436)</f>
        <v>5520</v>
      </c>
      <c r="N436" s="78"/>
      <c r="O436" s="68">
        <f>SUM(M436:N436)</f>
        <v>5520</v>
      </c>
      <c r="P436" s="78"/>
      <c r="Q436" s="68">
        <f>SUM(O436:P436)</f>
        <v>5520</v>
      </c>
      <c r="R436" s="78"/>
      <c r="S436" s="68">
        <f>SUM(Q436:R436)</f>
        <v>5520</v>
      </c>
      <c r="T436" s="78"/>
      <c r="U436" s="68">
        <f>SUM(S436:T436)</f>
        <v>5520</v>
      </c>
      <c r="V436" s="78"/>
      <c r="W436" s="68">
        <f>SUM(U436:V436)</f>
        <v>5520</v>
      </c>
      <c r="X436" s="78"/>
      <c r="Y436" s="68">
        <f>SUM(W436:X436)</f>
        <v>5520</v>
      </c>
      <c r="Z436" s="78"/>
      <c r="AA436" s="68">
        <f>SUM(Y436:Z436)</f>
        <v>5520</v>
      </c>
      <c r="AB436" s="78"/>
      <c r="AC436" s="68">
        <f>SUM(AA436:AB436)</f>
        <v>5520</v>
      </c>
      <c r="AD436" s="78"/>
      <c r="AE436" s="68">
        <f>SUM(AC436:AD436)</f>
        <v>5520</v>
      </c>
      <c r="AF436" s="78"/>
      <c r="AG436" s="68">
        <f>SUM(AE436:AF436)</f>
        <v>5520</v>
      </c>
      <c r="AH436" s="78"/>
      <c r="AI436" s="68">
        <f>SUM(AG436:AH436)</f>
        <v>5520</v>
      </c>
      <c r="AJ436" s="78"/>
      <c r="AK436" s="68">
        <f>SUM(AI436:AJ436)</f>
        <v>5520</v>
      </c>
      <c r="AL436" s="78"/>
      <c r="AM436" s="68">
        <f>SUM(AK436:AL436)</f>
        <v>5520</v>
      </c>
    </row>
    <row r="437" spans="1:39" s="134" customFormat="1" ht="21" customHeight="1">
      <c r="A437" s="85">
        <v>853</v>
      </c>
      <c r="B437" s="256"/>
      <c r="C437" s="257"/>
      <c r="D437" s="258" t="s">
        <v>242</v>
      </c>
      <c r="E437" s="161">
        <f aca="true" t="shared" si="462" ref="E437:AD438">E438</f>
        <v>10704</v>
      </c>
      <c r="F437" s="161">
        <f t="shared" si="462"/>
        <v>0</v>
      </c>
      <c r="G437" s="161">
        <f t="shared" si="462"/>
        <v>10704</v>
      </c>
      <c r="H437" s="161">
        <f t="shared" si="462"/>
        <v>0</v>
      </c>
      <c r="I437" s="161">
        <f t="shared" si="462"/>
        <v>10704</v>
      </c>
      <c r="J437" s="161">
        <f t="shared" si="462"/>
        <v>0</v>
      </c>
      <c r="K437" s="161">
        <f t="shared" si="462"/>
        <v>10704</v>
      </c>
      <c r="L437" s="161">
        <f t="shared" si="462"/>
        <v>1133</v>
      </c>
      <c r="M437" s="161">
        <f t="shared" si="462"/>
        <v>11837</v>
      </c>
      <c r="N437" s="161">
        <f t="shared" si="462"/>
        <v>0</v>
      </c>
      <c r="O437" s="161">
        <f t="shared" si="462"/>
        <v>11837</v>
      </c>
      <c r="P437" s="161">
        <f t="shared" si="462"/>
        <v>0</v>
      </c>
      <c r="Q437" s="161">
        <f t="shared" si="462"/>
        <v>11837</v>
      </c>
      <c r="R437" s="161">
        <f t="shared" si="462"/>
        <v>0</v>
      </c>
      <c r="S437" s="161">
        <f t="shared" si="462"/>
        <v>11837</v>
      </c>
      <c r="T437" s="161">
        <f t="shared" si="462"/>
        <v>0</v>
      </c>
      <c r="U437" s="161">
        <f>U438</f>
        <v>11837</v>
      </c>
      <c r="V437" s="161">
        <f t="shared" si="462"/>
        <v>0</v>
      </c>
      <c r="W437" s="161">
        <f>W438</f>
        <v>11837</v>
      </c>
      <c r="X437" s="161">
        <f t="shared" si="462"/>
        <v>0</v>
      </c>
      <c r="Y437" s="161">
        <f>Y438</f>
        <v>11837</v>
      </c>
      <c r="Z437" s="161">
        <f t="shared" si="462"/>
        <v>0</v>
      </c>
      <c r="AA437" s="161">
        <f>AA438</f>
        <v>11837</v>
      </c>
      <c r="AB437" s="161">
        <f t="shared" si="462"/>
        <v>0</v>
      </c>
      <c r="AC437" s="161">
        <f>AC438</f>
        <v>11837</v>
      </c>
      <c r="AD437" s="161">
        <f t="shared" si="462"/>
        <v>0</v>
      </c>
      <c r="AE437" s="161">
        <f aca="true" t="shared" si="463" ref="AE437:AK437">AE438+AE440</f>
        <v>11837</v>
      </c>
      <c r="AF437" s="161">
        <f t="shared" si="463"/>
        <v>347051</v>
      </c>
      <c r="AG437" s="161">
        <f t="shared" si="463"/>
        <v>358888</v>
      </c>
      <c r="AH437" s="161">
        <f t="shared" si="463"/>
        <v>0</v>
      </c>
      <c r="AI437" s="161">
        <f t="shared" si="463"/>
        <v>358888</v>
      </c>
      <c r="AJ437" s="161">
        <f t="shared" si="463"/>
        <v>0</v>
      </c>
      <c r="AK437" s="161">
        <f t="shared" si="463"/>
        <v>358888</v>
      </c>
      <c r="AL437" s="161">
        <f>AL438+AL440</f>
        <v>0</v>
      </c>
      <c r="AM437" s="161">
        <f>AM438+AM440</f>
        <v>358888</v>
      </c>
    </row>
    <row r="438" spans="1:39" s="23" customFormat="1" ht="21" customHeight="1">
      <c r="A438" s="64"/>
      <c r="B438" s="79">
        <v>85311</v>
      </c>
      <c r="C438" s="83"/>
      <c r="D438" s="37" t="s">
        <v>243</v>
      </c>
      <c r="E438" s="78">
        <f t="shared" si="462"/>
        <v>10704</v>
      </c>
      <c r="F438" s="78">
        <f t="shared" si="462"/>
        <v>0</v>
      </c>
      <c r="G438" s="78">
        <f t="shared" si="462"/>
        <v>10704</v>
      </c>
      <c r="H438" s="78">
        <f t="shared" si="462"/>
        <v>0</v>
      </c>
      <c r="I438" s="78">
        <f t="shared" si="462"/>
        <v>10704</v>
      </c>
      <c r="J438" s="78">
        <f t="shared" si="462"/>
        <v>0</v>
      </c>
      <c r="K438" s="78">
        <f t="shared" si="462"/>
        <v>10704</v>
      </c>
      <c r="L438" s="78">
        <f t="shared" si="462"/>
        <v>1133</v>
      </c>
      <c r="M438" s="78">
        <f t="shared" si="462"/>
        <v>11837</v>
      </c>
      <c r="N438" s="78">
        <f t="shared" si="462"/>
        <v>0</v>
      </c>
      <c r="O438" s="78">
        <f t="shared" si="462"/>
        <v>11837</v>
      </c>
      <c r="P438" s="78">
        <f t="shared" si="462"/>
        <v>0</v>
      </c>
      <c r="Q438" s="78">
        <f t="shared" si="462"/>
        <v>11837</v>
      </c>
      <c r="R438" s="78">
        <f t="shared" si="462"/>
        <v>0</v>
      </c>
      <c r="S438" s="78">
        <f t="shared" si="462"/>
        <v>11837</v>
      </c>
      <c r="T438" s="78">
        <f>T439</f>
        <v>0</v>
      </c>
      <c r="U438" s="78">
        <f>U439</f>
        <v>11837</v>
      </c>
      <c r="V438" s="78">
        <f>V439</f>
        <v>0</v>
      </c>
      <c r="W438" s="78">
        <f>W439</f>
        <v>11837</v>
      </c>
      <c r="X438" s="78">
        <f>X439</f>
        <v>0</v>
      </c>
      <c r="Y438" s="78">
        <f>Y439</f>
        <v>11837</v>
      </c>
      <c r="Z438" s="78">
        <f>Z439</f>
        <v>0</v>
      </c>
      <c r="AA438" s="78">
        <f>AA439</f>
        <v>11837</v>
      </c>
      <c r="AB438" s="78">
        <f>AB439</f>
        <v>0</v>
      </c>
      <c r="AC438" s="78">
        <f>AC439</f>
        <v>11837</v>
      </c>
      <c r="AD438" s="78">
        <f aca="true" t="shared" si="464" ref="AD438:AM438">AD439</f>
        <v>0</v>
      </c>
      <c r="AE438" s="78">
        <f t="shared" si="464"/>
        <v>11837</v>
      </c>
      <c r="AF438" s="78">
        <f t="shared" si="464"/>
        <v>0</v>
      </c>
      <c r="AG438" s="78">
        <f t="shared" si="464"/>
        <v>11837</v>
      </c>
      <c r="AH438" s="78">
        <f t="shared" si="464"/>
        <v>0</v>
      </c>
      <c r="AI438" s="78">
        <f t="shared" si="464"/>
        <v>11837</v>
      </c>
      <c r="AJ438" s="78">
        <f t="shared" si="464"/>
        <v>0</v>
      </c>
      <c r="AK438" s="78">
        <f t="shared" si="464"/>
        <v>11837</v>
      </c>
      <c r="AL438" s="78">
        <f t="shared" si="464"/>
        <v>0</v>
      </c>
      <c r="AM438" s="78">
        <f t="shared" si="464"/>
        <v>11837</v>
      </c>
    </row>
    <row r="439" spans="1:39" s="23" customFormat="1" ht="45">
      <c r="A439" s="64"/>
      <c r="B439" s="79"/>
      <c r="C439" s="83">
        <v>2710</v>
      </c>
      <c r="D439" s="37" t="s">
        <v>251</v>
      </c>
      <c r="E439" s="78">
        <v>10704</v>
      </c>
      <c r="F439" s="78"/>
      <c r="G439" s="78">
        <f>SUM(E439:F439)</f>
        <v>10704</v>
      </c>
      <c r="H439" s="78"/>
      <c r="I439" s="78">
        <f>SUM(G439:H439)</f>
        <v>10704</v>
      </c>
      <c r="J439" s="78"/>
      <c r="K439" s="78">
        <f>SUM(I439:J439)</f>
        <v>10704</v>
      </c>
      <c r="L439" s="78">
        <v>1133</v>
      </c>
      <c r="M439" s="78">
        <f>SUM(K439:L439)</f>
        <v>11837</v>
      </c>
      <c r="N439" s="78"/>
      <c r="O439" s="78">
        <f>SUM(M439:N439)</f>
        <v>11837</v>
      </c>
      <c r="P439" s="78"/>
      <c r="Q439" s="78">
        <f>SUM(O439:P439)</f>
        <v>11837</v>
      </c>
      <c r="R439" s="78"/>
      <c r="S439" s="78">
        <f>SUM(Q439:R439)</f>
        <v>11837</v>
      </c>
      <c r="T439" s="78"/>
      <c r="U439" s="78">
        <f>SUM(S439:T439)</f>
        <v>11837</v>
      </c>
      <c r="V439" s="78"/>
      <c r="W439" s="78">
        <f>SUM(U439:V439)</f>
        <v>11837</v>
      </c>
      <c r="X439" s="78"/>
      <c r="Y439" s="78">
        <f>SUM(W439:X439)</f>
        <v>11837</v>
      </c>
      <c r="Z439" s="78"/>
      <c r="AA439" s="78">
        <f>SUM(Y439:Z439)</f>
        <v>11837</v>
      </c>
      <c r="AB439" s="78"/>
      <c r="AC439" s="78">
        <f>SUM(AA439:AB439)</f>
        <v>11837</v>
      </c>
      <c r="AD439" s="78"/>
      <c r="AE439" s="78">
        <f>SUM(AC439:AD439)</f>
        <v>11837</v>
      </c>
      <c r="AF439" s="78"/>
      <c r="AG439" s="78">
        <f>SUM(AE439:AF439)</f>
        <v>11837</v>
      </c>
      <c r="AH439" s="78"/>
      <c r="AI439" s="78">
        <f>SUM(AG439:AH439)</f>
        <v>11837</v>
      </c>
      <c r="AJ439" s="78"/>
      <c r="AK439" s="78">
        <f>SUM(AI439:AJ439)</f>
        <v>11837</v>
      </c>
      <c r="AL439" s="78"/>
      <c r="AM439" s="78">
        <f>SUM(AK439:AL439)</f>
        <v>11837</v>
      </c>
    </row>
    <row r="440" spans="1:39" s="23" customFormat="1" ht="21" customHeight="1">
      <c r="A440" s="64"/>
      <c r="B440" s="79">
        <v>85395</v>
      </c>
      <c r="C440" s="83"/>
      <c r="D440" s="37" t="s">
        <v>6</v>
      </c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>
        <f aca="true" t="shared" si="465" ref="AE440:AK440">SUM(AE441:AE450)</f>
        <v>0</v>
      </c>
      <c r="AF440" s="78">
        <f t="shared" si="465"/>
        <v>347051</v>
      </c>
      <c r="AG440" s="78">
        <f t="shared" si="465"/>
        <v>347051</v>
      </c>
      <c r="AH440" s="78">
        <f t="shared" si="465"/>
        <v>0</v>
      </c>
      <c r="AI440" s="78">
        <f t="shared" si="465"/>
        <v>347051</v>
      </c>
      <c r="AJ440" s="78">
        <f t="shared" si="465"/>
        <v>0</v>
      </c>
      <c r="AK440" s="78">
        <f t="shared" si="465"/>
        <v>347051</v>
      </c>
      <c r="AL440" s="78">
        <f>SUM(AL441:AL450)</f>
        <v>0</v>
      </c>
      <c r="AM440" s="78">
        <f>SUM(AM441:AM450)</f>
        <v>347051</v>
      </c>
    </row>
    <row r="441" spans="1:42" s="23" customFormat="1" ht="21" customHeight="1">
      <c r="A441" s="64"/>
      <c r="B441" s="79"/>
      <c r="C441" s="83">
        <v>4017</v>
      </c>
      <c r="D441" s="37" t="s">
        <v>83</v>
      </c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>
        <v>0</v>
      </c>
      <c r="AF441" s="78">
        <v>104345</v>
      </c>
      <c r="AG441" s="78">
        <f>SUM(AE441:AF441)</f>
        <v>104345</v>
      </c>
      <c r="AH441" s="78"/>
      <c r="AI441" s="78">
        <f>SUM(AG441:AH441)</f>
        <v>104345</v>
      </c>
      <c r="AJ441" s="78"/>
      <c r="AK441" s="78">
        <f>SUM(AI441:AJ441)</f>
        <v>104345</v>
      </c>
      <c r="AL441" s="78"/>
      <c r="AM441" s="78">
        <f>SUM(AK441:AL441)</f>
        <v>104345</v>
      </c>
      <c r="AN441" s="113"/>
      <c r="AO441" s="113"/>
      <c r="AP441" s="113"/>
    </row>
    <row r="442" spans="1:42" s="23" customFormat="1" ht="21" customHeight="1">
      <c r="A442" s="64"/>
      <c r="B442" s="79"/>
      <c r="C442" s="83">
        <v>4047</v>
      </c>
      <c r="D442" s="37" t="s">
        <v>84</v>
      </c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>
        <v>0</v>
      </c>
      <c r="AF442" s="78">
        <v>4877</v>
      </c>
      <c r="AG442" s="78">
        <f aca="true" t="shared" si="466" ref="AG442:AG450">SUM(AE442:AF442)</f>
        <v>4877</v>
      </c>
      <c r="AH442" s="78"/>
      <c r="AI442" s="78">
        <f aca="true" t="shared" si="467" ref="AI442:AI450">SUM(AG442:AH442)</f>
        <v>4877</v>
      </c>
      <c r="AJ442" s="78"/>
      <c r="AK442" s="78">
        <f aca="true" t="shared" si="468" ref="AK442:AK450">SUM(AI442:AJ442)</f>
        <v>4877</v>
      </c>
      <c r="AL442" s="78"/>
      <c r="AM442" s="78">
        <f aca="true" t="shared" si="469" ref="AM442:AM450">SUM(AK442:AL442)</f>
        <v>4877</v>
      </c>
      <c r="AN442" s="113"/>
      <c r="AO442" s="113"/>
      <c r="AP442" s="113"/>
    </row>
    <row r="443" spans="1:42" s="23" customFormat="1" ht="21" customHeight="1">
      <c r="A443" s="64"/>
      <c r="B443" s="79"/>
      <c r="C443" s="83">
        <v>4117</v>
      </c>
      <c r="D443" s="37" t="s">
        <v>85</v>
      </c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>
        <v>0</v>
      </c>
      <c r="AF443" s="78">
        <v>17652</v>
      </c>
      <c r="AG443" s="78">
        <f t="shared" si="466"/>
        <v>17652</v>
      </c>
      <c r="AH443" s="78"/>
      <c r="AI443" s="78">
        <f t="shared" si="467"/>
        <v>17652</v>
      </c>
      <c r="AJ443" s="78"/>
      <c r="AK443" s="78">
        <f t="shared" si="468"/>
        <v>17652</v>
      </c>
      <c r="AL443" s="78"/>
      <c r="AM443" s="78">
        <f t="shared" si="469"/>
        <v>17652</v>
      </c>
      <c r="AN443" s="113"/>
      <c r="AO443" s="113"/>
      <c r="AP443" s="113"/>
    </row>
    <row r="444" spans="1:42" s="23" customFormat="1" ht="21" customHeight="1">
      <c r="A444" s="64"/>
      <c r="B444" s="79"/>
      <c r="C444" s="83">
        <v>4127</v>
      </c>
      <c r="D444" s="37" t="s">
        <v>86</v>
      </c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>
        <v>0</v>
      </c>
      <c r="AF444" s="78">
        <v>2828</v>
      </c>
      <c r="AG444" s="78">
        <f t="shared" si="466"/>
        <v>2828</v>
      </c>
      <c r="AH444" s="78"/>
      <c r="AI444" s="78">
        <f t="shared" si="467"/>
        <v>2828</v>
      </c>
      <c r="AJ444" s="78"/>
      <c r="AK444" s="78">
        <f t="shared" si="468"/>
        <v>2828</v>
      </c>
      <c r="AL444" s="78"/>
      <c r="AM444" s="78">
        <f t="shared" si="469"/>
        <v>2828</v>
      </c>
      <c r="AN444" s="113"/>
      <c r="AO444" s="113"/>
      <c r="AP444" s="113"/>
    </row>
    <row r="445" spans="1:42" s="23" customFormat="1" ht="21" customHeight="1">
      <c r="A445" s="64"/>
      <c r="B445" s="79"/>
      <c r="C445" s="83">
        <v>4177</v>
      </c>
      <c r="D445" s="37" t="s">
        <v>189</v>
      </c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>
        <v>0</v>
      </c>
      <c r="AF445" s="78">
        <v>16654</v>
      </c>
      <c r="AG445" s="78">
        <f t="shared" si="466"/>
        <v>16654</v>
      </c>
      <c r="AH445" s="78"/>
      <c r="AI445" s="78">
        <f t="shared" si="467"/>
        <v>16654</v>
      </c>
      <c r="AJ445" s="78"/>
      <c r="AK445" s="78">
        <f t="shared" si="468"/>
        <v>16654</v>
      </c>
      <c r="AL445" s="78"/>
      <c r="AM445" s="78">
        <f t="shared" si="469"/>
        <v>16654</v>
      </c>
      <c r="AN445" s="113"/>
      <c r="AO445" s="113"/>
      <c r="AP445" s="113"/>
    </row>
    <row r="446" spans="1:42" s="23" customFormat="1" ht="21" customHeight="1">
      <c r="A446" s="64"/>
      <c r="B446" s="79"/>
      <c r="C446" s="83">
        <v>4179</v>
      </c>
      <c r="D446" s="37" t="s">
        <v>189</v>
      </c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>
        <v>0</v>
      </c>
      <c r="AF446" s="78">
        <v>17450</v>
      </c>
      <c r="AG446" s="78">
        <f t="shared" si="466"/>
        <v>17450</v>
      </c>
      <c r="AH446" s="78"/>
      <c r="AI446" s="78">
        <f t="shared" si="467"/>
        <v>17450</v>
      </c>
      <c r="AJ446" s="78"/>
      <c r="AK446" s="78">
        <f t="shared" si="468"/>
        <v>17450</v>
      </c>
      <c r="AL446" s="78"/>
      <c r="AM446" s="78">
        <f t="shared" si="469"/>
        <v>17450</v>
      </c>
      <c r="AN446" s="113"/>
      <c r="AO446" s="113"/>
      <c r="AP446" s="113"/>
    </row>
    <row r="447" spans="1:39" s="23" customFormat="1" ht="21" customHeight="1">
      <c r="A447" s="64"/>
      <c r="B447" s="79"/>
      <c r="C447" s="83">
        <v>4217</v>
      </c>
      <c r="D447" s="37" t="s">
        <v>91</v>
      </c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>
        <v>0</v>
      </c>
      <c r="AF447" s="78">
        <v>24453</v>
      </c>
      <c r="AG447" s="78">
        <f t="shared" si="466"/>
        <v>24453</v>
      </c>
      <c r="AH447" s="78"/>
      <c r="AI447" s="78">
        <f t="shared" si="467"/>
        <v>24453</v>
      </c>
      <c r="AJ447" s="78"/>
      <c r="AK447" s="78">
        <f t="shared" si="468"/>
        <v>24453</v>
      </c>
      <c r="AL447" s="78"/>
      <c r="AM447" s="78">
        <f t="shared" si="469"/>
        <v>24453</v>
      </c>
    </row>
    <row r="448" spans="1:39" s="23" customFormat="1" ht="21" customHeight="1">
      <c r="A448" s="64"/>
      <c r="B448" s="79"/>
      <c r="C448" s="83">
        <v>4307</v>
      </c>
      <c r="D448" s="37" t="s">
        <v>78</v>
      </c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>
        <v>0</v>
      </c>
      <c r="AF448" s="78">
        <v>154208</v>
      </c>
      <c r="AG448" s="78">
        <f t="shared" si="466"/>
        <v>154208</v>
      </c>
      <c r="AH448" s="78"/>
      <c r="AI448" s="78">
        <f t="shared" si="467"/>
        <v>154208</v>
      </c>
      <c r="AJ448" s="78"/>
      <c r="AK448" s="78">
        <f t="shared" si="468"/>
        <v>154208</v>
      </c>
      <c r="AL448" s="78"/>
      <c r="AM448" s="78">
        <f t="shared" si="469"/>
        <v>154208</v>
      </c>
    </row>
    <row r="449" spans="1:39" s="23" customFormat="1" ht="22.5">
      <c r="A449" s="64"/>
      <c r="B449" s="79"/>
      <c r="C449" s="83">
        <v>4447</v>
      </c>
      <c r="D449" s="37" t="s">
        <v>87</v>
      </c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>
        <v>0</v>
      </c>
      <c r="AF449" s="78">
        <v>1584</v>
      </c>
      <c r="AG449" s="78">
        <f t="shared" si="466"/>
        <v>1584</v>
      </c>
      <c r="AH449" s="78"/>
      <c r="AI449" s="78">
        <f t="shared" si="467"/>
        <v>1584</v>
      </c>
      <c r="AJ449" s="78"/>
      <c r="AK449" s="78">
        <f t="shared" si="468"/>
        <v>1584</v>
      </c>
      <c r="AL449" s="78"/>
      <c r="AM449" s="78">
        <f t="shared" si="469"/>
        <v>1584</v>
      </c>
    </row>
    <row r="450" spans="1:39" s="23" customFormat="1" ht="22.5">
      <c r="A450" s="64"/>
      <c r="B450" s="79"/>
      <c r="C450" s="83">
        <v>4757</v>
      </c>
      <c r="D450" s="37" t="s">
        <v>237</v>
      </c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>
        <v>0</v>
      </c>
      <c r="AF450" s="78">
        <v>3000</v>
      </c>
      <c r="AG450" s="78">
        <f t="shared" si="466"/>
        <v>3000</v>
      </c>
      <c r="AH450" s="78"/>
      <c r="AI450" s="78">
        <f t="shared" si="467"/>
        <v>3000</v>
      </c>
      <c r="AJ450" s="78"/>
      <c r="AK450" s="78">
        <f t="shared" si="468"/>
        <v>3000</v>
      </c>
      <c r="AL450" s="78"/>
      <c r="AM450" s="78">
        <f t="shared" si="469"/>
        <v>3000</v>
      </c>
    </row>
    <row r="451" spans="1:39" s="6" customFormat="1" ht="21" customHeight="1">
      <c r="A451" s="32" t="s">
        <v>121</v>
      </c>
      <c r="B451" s="33"/>
      <c r="C451" s="34"/>
      <c r="D451" s="35" t="s">
        <v>58</v>
      </c>
      <c r="E451" s="36">
        <f aca="true" t="shared" si="470" ref="E451:W451">SUM(E452,E463,E475,E471,E468)</f>
        <v>1079023</v>
      </c>
      <c r="F451" s="36">
        <f t="shared" si="470"/>
        <v>-100000</v>
      </c>
      <c r="G451" s="36">
        <f t="shared" si="470"/>
        <v>979023</v>
      </c>
      <c r="H451" s="36">
        <f t="shared" si="470"/>
        <v>0</v>
      </c>
      <c r="I451" s="36">
        <f t="shared" si="470"/>
        <v>979023</v>
      </c>
      <c r="J451" s="36">
        <f t="shared" si="470"/>
        <v>0</v>
      </c>
      <c r="K451" s="36">
        <f t="shared" si="470"/>
        <v>979023</v>
      </c>
      <c r="L451" s="36">
        <f t="shared" si="470"/>
        <v>63900</v>
      </c>
      <c r="M451" s="36">
        <f t="shared" si="470"/>
        <v>1042923</v>
      </c>
      <c r="N451" s="36">
        <f t="shared" si="470"/>
        <v>279792</v>
      </c>
      <c r="O451" s="36">
        <f t="shared" si="470"/>
        <v>1322715</v>
      </c>
      <c r="P451" s="36">
        <f t="shared" si="470"/>
        <v>0</v>
      </c>
      <c r="Q451" s="36">
        <f t="shared" si="470"/>
        <v>1322715</v>
      </c>
      <c r="R451" s="36">
        <f t="shared" si="470"/>
        <v>-64671</v>
      </c>
      <c r="S451" s="36">
        <f t="shared" si="470"/>
        <v>1258044</v>
      </c>
      <c r="T451" s="36">
        <f t="shared" si="470"/>
        <v>0</v>
      </c>
      <c r="U451" s="36">
        <f t="shared" si="470"/>
        <v>1258044</v>
      </c>
      <c r="V451" s="36">
        <f t="shared" si="470"/>
        <v>40000</v>
      </c>
      <c r="W451" s="36">
        <f t="shared" si="470"/>
        <v>1298044</v>
      </c>
      <c r="X451" s="36">
        <f aca="true" t="shared" si="471" ref="X451:AC451">SUM(X452,X463,X475,X471,X468)</f>
        <v>0</v>
      </c>
      <c r="Y451" s="36">
        <f t="shared" si="471"/>
        <v>1298044</v>
      </c>
      <c r="Z451" s="36">
        <f t="shared" si="471"/>
        <v>60600</v>
      </c>
      <c r="AA451" s="36">
        <f t="shared" si="471"/>
        <v>1358644</v>
      </c>
      <c r="AB451" s="36">
        <f t="shared" si="471"/>
        <v>0</v>
      </c>
      <c r="AC451" s="36">
        <f t="shared" si="471"/>
        <v>1358644</v>
      </c>
      <c r="AD451" s="36">
        <f aca="true" t="shared" si="472" ref="AD451:AI451">SUM(AD452,AD463,AD475,AD471,AD468)</f>
        <v>1500</v>
      </c>
      <c r="AE451" s="36">
        <f t="shared" si="472"/>
        <v>1360144</v>
      </c>
      <c r="AF451" s="36">
        <f t="shared" si="472"/>
        <v>0</v>
      </c>
      <c r="AG451" s="36">
        <f t="shared" si="472"/>
        <v>1360144</v>
      </c>
      <c r="AH451" s="36">
        <f t="shared" si="472"/>
        <v>0</v>
      </c>
      <c r="AI451" s="36">
        <f t="shared" si="472"/>
        <v>1360144</v>
      </c>
      <c r="AJ451" s="36">
        <f>SUM(AJ452,AJ463,AJ475,AJ471,AJ468)</f>
        <v>193417</v>
      </c>
      <c r="AK451" s="36">
        <f>SUM(AK452,AK463,AK475,AK471,AK468)</f>
        <v>1553561</v>
      </c>
      <c r="AL451" s="36">
        <f>SUM(AL452,AL463,AL475,AL471,AL468)</f>
        <v>0</v>
      </c>
      <c r="AM451" s="36">
        <f>SUM(AM452,AM463,AM475,AM471,AM468)</f>
        <v>1553561</v>
      </c>
    </row>
    <row r="452" spans="1:39" s="23" customFormat="1" ht="21" customHeight="1">
      <c r="A452" s="64"/>
      <c r="B452" s="79">
        <v>85401</v>
      </c>
      <c r="C452" s="83"/>
      <c r="D452" s="37" t="s">
        <v>59</v>
      </c>
      <c r="E452" s="78">
        <f aca="true" t="shared" si="473" ref="E452:W452">SUM(E453:E462)</f>
        <v>622434</v>
      </c>
      <c r="F452" s="78">
        <f t="shared" si="473"/>
        <v>0</v>
      </c>
      <c r="G452" s="78">
        <f t="shared" si="473"/>
        <v>622434</v>
      </c>
      <c r="H452" s="78">
        <f t="shared" si="473"/>
        <v>0</v>
      </c>
      <c r="I452" s="78">
        <f t="shared" si="473"/>
        <v>622434</v>
      </c>
      <c r="J452" s="78">
        <f t="shared" si="473"/>
        <v>0</v>
      </c>
      <c r="K452" s="78">
        <f t="shared" si="473"/>
        <v>622434</v>
      </c>
      <c r="L452" s="78">
        <f t="shared" si="473"/>
        <v>50</v>
      </c>
      <c r="M452" s="78">
        <f t="shared" si="473"/>
        <v>622484</v>
      </c>
      <c r="N452" s="78">
        <f t="shared" si="473"/>
        <v>0</v>
      </c>
      <c r="O452" s="78">
        <f t="shared" si="473"/>
        <v>622484</v>
      </c>
      <c r="P452" s="78">
        <f t="shared" si="473"/>
        <v>0</v>
      </c>
      <c r="Q452" s="78">
        <f t="shared" si="473"/>
        <v>622484</v>
      </c>
      <c r="R452" s="78">
        <f t="shared" si="473"/>
        <v>0</v>
      </c>
      <c r="S452" s="78">
        <f t="shared" si="473"/>
        <v>622484</v>
      </c>
      <c r="T452" s="78">
        <f t="shared" si="473"/>
        <v>0</v>
      </c>
      <c r="U452" s="78">
        <f t="shared" si="473"/>
        <v>622484</v>
      </c>
      <c r="V452" s="78">
        <f t="shared" si="473"/>
        <v>0</v>
      </c>
      <c r="W452" s="78">
        <f t="shared" si="473"/>
        <v>622484</v>
      </c>
      <c r="X452" s="78">
        <f aca="true" t="shared" si="474" ref="X452:AC452">SUM(X453:X462)</f>
        <v>0</v>
      </c>
      <c r="Y452" s="78">
        <f t="shared" si="474"/>
        <v>622484</v>
      </c>
      <c r="Z452" s="78">
        <f t="shared" si="474"/>
        <v>0</v>
      </c>
      <c r="AA452" s="78">
        <f t="shared" si="474"/>
        <v>622484</v>
      </c>
      <c r="AB452" s="78">
        <f t="shared" si="474"/>
        <v>0</v>
      </c>
      <c r="AC452" s="78">
        <f t="shared" si="474"/>
        <v>622484</v>
      </c>
      <c r="AD452" s="78">
        <f aca="true" t="shared" si="475" ref="AD452:AI452">SUM(AD453:AD462)</f>
        <v>0</v>
      </c>
      <c r="AE452" s="78">
        <f t="shared" si="475"/>
        <v>622484</v>
      </c>
      <c r="AF452" s="78">
        <f t="shared" si="475"/>
        <v>0</v>
      </c>
      <c r="AG452" s="78">
        <f t="shared" si="475"/>
        <v>622484</v>
      </c>
      <c r="AH452" s="78">
        <f t="shared" si="475"/>
        <v>0</v>
      </c>
      <c r="AI452" s="78">
        <f t="shared" si="475"/>
        <v>622484</v>
      </c>
      <c r="AJ452" s="78">
        <f>SUM(AJ453:AJ462)</f>
        <v>1762</v>
      </c>
      <c r="AK452" s="78">
        <f>SUM(AK453:AK462)</f>
        <v>624246</v>
      </c>
      <c r="AL452" s="78">
        <f>SUM(AL453:AL462)</f>
        <v>0</v>
      </c>
      <c r="AM452" s="78">
        <f>SUM(AM453:AM462)</f>
        <v>624246</v>
      </c>
    </row>
    <row r="453" spans="1:39" s="23" customFormat="1" ht="21" customHeight="1">
      <c r="A453" s="64"/>
      <c r="B453" s="79"/>
      <c r="C453" s="83">
        <v>3020</v>
      </c>
      <c r="D453" s="37" t="s">
        <v>208</v>
      </c>
      <c r="E453" s="78">
        <v>10531</v>
      </c>
      <c r="F453" s="78"/>
      <c r="G453" s="78">
        <f>SUM(E453:F453)</f>
        <v>10531</v>
      </c>
      <c r="H453" s="78"/>
      <c r="I453" s="78">
        <f>SUM(G453:H453)</f>
        <v>10531</v>
      </c>
      <c r="J453" s="78"/>
      <c r="K453" s="78">
        <f>SUM(I453:J453)</f>
        <v>10531</v>
      </c>
      <c r="L453" s="78"/>
      <c r="M453" s="78">
        <f>SUM(K453:L453)</f>
        <v>10531</v>
      </c>
      <c r="N453" s="78"/>
      <c r="O453" s="78">
        <f>SUM(M453:N453)</f>
        <v>10531</v>
      </c>
      <c r="P453" s="78"/>
      <c r="Q453" s="78">
        <f>SUM(O453:P453)</f>
        <v>10531</v>
      </c>
      <c r="R453" s="78"/>
      <c r="S453" s="78">
        <f>SUM(Q453:R453)</f>
        <v>10531</v>
      </c>
      <c r="T453" s="78"/>
      <c r="U453" s="78">
        <f>SUM(S453:T453)</f>
        <v>10531</v>
      </c>
      <c r="V453" s="78"/>
      <c r="W453" s="78">
        <f>SUM(U453:V453)</f>
        <v>10531</v>
      </c>
      <c r="X453" s="78"/>
      <c r="Y453" s="78">
        <f>SUM(W453:X453)</f>
        <v>10531</v>
      </c>
      <c r="Z453" s="78"/>
      <c r="AA453" s="78">
        <f>SUM(Y453:Z453)</f>
        <v>10531</v>
      </c>
      <c r="AB453" s="78"/>
      <c r="AC453" s="78">
        <f>SUM(AA453:AB453)</f>
        <v>10531</v>
      </c>
      <c r="AD453" s="78"/>
      <c r="AE453" s="78">
        <f>SUM(AC453:AD453)</f>
        <v>10531</v>
      </c>
      <c r="AF453" s="78"/>
      <c r="AG453" s="78">
        <f>SUM(AE453:AF453)</f>
        <v>10531</v>
      </c>
      <c r="AH453" s="78"/>
      <c r="AI453" s="78">
        <f>SUM(AG453:AH453)</f>
        <v>10531</v>
      </c>
      <c r="AJ453" s="78">
        <f>87-136</f>
        <v>-49</v>
      </c>
      <c r="AK453" s="78">
        <f>SUM(AI453:AJ453)</f>
        <v>10482</v>
      </c>
      <c r="AL453" s="78"/>
      <c r="AM453" s="78">
        <f>SUM(AK453:AL453)</f>
        <v>10482</v>
      </c>
    </row>
    <row r="454" spans="1:42" s="23" customFormat="1" ht="21" customHeight="1">
      <c r="A454" s="64"/>
      <c r="B454" s="79"/>
      <c r="C454" s="83">
        <v>4010</v>
      </c>
      <c r="D454" s="37" t="s">
        <v>83</v>
      </c>
      <c r="E454" s="78">
        <v>448520</v>
      </c>
      <c r="F454" s="78"/>
      <c r="G454" s="78">
        <f aca="true" t="shared" si="476" ref="G454:G462">SUM(E454:F454)</f>
        <v>448520</v>
      </c>
      <c r="H454" s="78"/>
      <c r="I454" s="78">
        <f aca="true" t="shared" si="477" ref="I454:I462">SUM(G454:H454)</f>
        <v>448520</v>
      </c>
      <c r="J454" s="78"/>
      <c r="K454" s="78">
        <f aca="true" t="shared" si="478" ref="K454:K462">SUM(I454:J454)</f>
        <v>448520</v>
      </c>
      <c r="L454" s="78">
        <v>2113</v>
      </c>
      <c r="M454" s="78">
        <f aca="true" t="shared" si="479" ref="M454:M462">SUM(K454:L454)</f>
        <v>450633</v>
      </c>
      <c r="N454" s="78"/>
      <c r="O454" s="78">
        <f aca="true" t="shared" si="480" ref="O454:O462">SUM(M454:N454)</f>
        <v>450633</v>
      </c>
      <c r="P454" s="78"/>
      <c r="Q454" s="78">
        <f aca="true" t="shared" si="481" ref="Q454:Q462">SUM(O454:P454)</f>
        <v>450633</v>
      </c>
      <c r="R454" s="78"/>
      <c r="S454" s="78">
        <f aca="true" t="shared" si="482" ref="S454:S462">SUM(Q454:R454)</f>
        <v>450633</v>
      </c>
      <c r="T454" s="78"/>
      <c r="U454" s="78">
        <f aca="true" t="shared" si="483" ref="U454:U462">SUM(S454:T454)</f>
        <v>450633</v>
      </c>
      <c r="V454" s="78"/>
      <c r="W454" s="78">
        <f aca="true" t="shared" si="484" ref="W454:W462">SUM(U454:V454)</f>
        <v>450633</v>
      </c>
      <c r="X454" s="78"/>
      <c r="Y454" s="78">
        <f aca="true" t="shared" si="485" ref="Y454:Y462">SUM(W454:X454)</f>
        <v>450633</v>
      </c>
      <c r="Z454" s="78"/>
      <c r="AA454" s="78">
        <f aca="true" t="shared" si="486" ref="AA454:AA462">SUM(Y454:Z454)</f>
        <v>450633</v>
      </c>
      <c r="AB454" s="78"/>
      <c r="AC454" s="78">
        <f aca="true" t="shared" si="487" ref="AC454:AC462">SUM(AA454:AB454)</f>
        <v>450633</v>
      </c>
      <c r="AD454" s="78"/>
      <c r="AE454" s="78">
        <f aca="true" t="shared" si="488" ref="AE454:AE462">SUM(AC454:AD454)</f>
        <v>450633</v>
      </c>
      <c r="AF454" s="78"/>
      <c r="AG454" s="78">
        <f aca="true" t="shared" si="489" ref="AG454:AG462">SUM(AE454:AF454)</f>
        <v>450633</v>
      </c>
      <c r="AH454" s="78"/>
      <c r="AI454" s="78">
        <f aca="true" t="shared" si="490" ref="AI454:AI462">SUM(AG454:AH454)</f>
        <v>450633</v>
      </c>
      <c r="AJ454" s="78">
        <f>346-4507</f>
        <v>-4161</v>
      </c>
      <c r="AK454" s="78">
        <f aca="true" t="shared" si="491" ref="AK454:AK462">SUM(AI454:AJ454)</f>
        <v>446472</v>
      </c>
      <c r="AL454" s="78"/>
      <c r="AM454" s="78">
        <f aca="true" t="shared" si="492" ref="AM454:AM462">SUM(AK454:AL454)</f>
        <v>446472</v>
      </c>
      <c r="AN454" s="113"/>
      <c r="AO454" s="113"/>
      <c r="AP454" s="113"/>
    </row>
    <row r="455" spans="1:42" s="23" customFormat="1" ht="21" customHeight="1">
      <c r="A455" s="64"/>
      <c r="B455" s="79"/>
      <c r="C455" s="83">
        <v>4040</v>
      </c>
      <c r="D455" s="37" t="s">
        <v>84</v>
      </c>
      <c r="E455" s="78">
        <v>31891</v>
      </c>
      <c r="F455" s="78"/>
      <c r="G455" s="78">
        <f t="shared" si="476"/>
        <v>31891</v>
      </c>
      <c r="H455" s="78"/>
      <c r="I455" s="78">
        <f t="shared" si="477"/>
        <v>31891</v>
      </c>
      <c r="J455" s="78"/>
      <c r="K455" s="78">
        <f t="shared" si="478"/>
        <v>31891</v>
      </c>
      <c r="L455" s="78">
        <v>-2063</v>
      </c>
      <c r="M455" s="78">
        <f t="shared" si="479"/>
        <v>29828</v>
      </c>
      <c r="N455" s="78"/>
      <c r="O455" s="78">
        <f t="shared" si="480"/>
        <v>29828</v>
      </c>
      <c r="P455" s="78"/>
      <c r="Q455" s="78">
        <f t="shared" si="481"/>
        <v>29828</v>
      </c>
      <c r="R455" s="78"/>
      <c r="S455" s="78">
        <f t="shared" si="482"/>
        <v>29828</v>
      </c>
      <c r="T455" s="78"/>
      <c r="U455" s="78">
        <f t="shared" si="483"/>
        <v>29828</v>
      </c>
      <c r="V455" s="78"/>
      <c r="W455" s="78">
        <f t="shared" si="484"/>
        <v>29828</v>
      </c>
      <c r="X455" s="78"/>
      <c r="Y455" s="78">
        <f t="shared" si="485"/>
        <v>29828</v>
      </c>
      <c r="Z455" s="78"/>
      <c r="AA455" s="78">
        <f t="shared" si="486"/>
        <v>29828</v>
      </c>
      <c r="AB455" s="78"/>
      <c r="AC455" s="78">
        <f t="shared" si="487"/>
        <v>29828</v>
      </c>
      <c r="AD455" s="78"/>
      <c r="AE455" s="78">
        <f t="shared" si="488"/>
        <v>29828</v>
      </c>
      <c r="AF455" s="78"/>
      <c r="AG455" s="78">
        <f t="shared" si="489"/>
        <v>29828</v>
      </c>
      <c r="AH455" s="78"/>
      <c r="AI455" s="78">
        <f t="shared" si="490"/>
        <v>29828</v>
      </c>
      <c r="AJ455" s="78"/>
      <c r="AK455" s="78">
        <f t="shared" si="491"/>
        <v>29828</v>
      </c>
      <c r="AL455" s="78"/>
      <c r="AM455" s="78">
        <f t="shared" si="492"/>
        <v>29828</v>
      </c>
      <c r="AN455" s="113"/>
      <c r="AO455" s="113"/>
      <c r="AP455" s="113"/>
    </row>
    <row r="456" spans="1:42" s="23" customFormat="1" ht="21" customHeight="1">
      <c r="A456" s="64"/>
      <c r="B456" s="79"/>
      <c r="C456" s="83">
        <v>4110</v>
      </c>
      <c r="D456" s="37" t="s">
        <v>85</v>
      </c>
      <c r="E456" s="78">
        <v>73489</v>
      </c>
      <c r="F456" s="78"/>
      <c r="G456" s="78">
        <f t="shared" si="476"/>
        <v>73489</v>
      </c>
      <c r="H456" s="78"/>
      <c r="I456" s="78">
        <f t="shared" si="477"/>
        <v>73489</v>
      </c>
      <c r="J456" s="78"/>
      <c r="K456" s="78">
        <f t="shared" si="478"/>
        <v>73489</v>
      </c>
      <c r="L456" s="78"/>
      <c r="M456" s="78">
        <f t="shared" si="479"/>
        <v>73489</v>
      </c>
      <c r="N456" s="78"/>
      <c r="O456" s="78">
        <f t="shared" si="480"/>
        <v>73489</v>
      </c>
      <c r="P456" s="78"/>
      <c r="Q456" s="78">
        <f t="shared" si="481"/>
        <v>73489</v>
      </c>
      <c r="R456" s="78"/>
      <c r="S456" s="78">
        <f t="shared" si="482"/>
        <v>73489</v>
      </c>
      <c r="T456" s="78"/>
      <c r="U456" s="78">
        <f t="shared" si="483"/>
        <v>73489</v>
      </c>
      <c r="V456" s="78"/>
      <c r="W456" s="78">
        <f t="shared" si="484"/>
        <v>73489</v>
      </c>
      <c r="X456" s="78"/>
      <c r="Y456" s="78">
        <f t="shared" si="485"/>
        <v>73489</v>
      </c>
      <c r="Z456" s="78"/>
      <c r="AA456" s="78">
        <f t="shared" si="486"/>
        <v>73489</v>
      </c>
      <c r="AB456" s="78"/>
      <c r="AC456" s="78">
        <f t="shared" si="487"/>
        <v>73489</v>
      </c>
      <c r="AD456" s="78"/>
      <c r="AE456" s="78">
        <f t="shared" si="488"/>
        <v>73489</v>
      </c>
      <c r="AF456" s="78"/>
      <c r="AG456" s="78">
        <f t="shared" si="489"/>
        <v>73489</v>
      </c>
      <c r="AH456" s="78"/>
      <c r="AI456" s="78">
        <f t="shared" si="490"/>
        <v>73489</v>
      </c>
      <c r="AJ456" s="78">
        <f>5723+1000</f>
        <v>6723</v>
      </c>
      <c r="AK456" s="78">
        <f t="shared" si="491"/>
        <v>80212</v>
      </c>
      <c r="AL456" s="78"/>
      <c r="AM456" s="78">
        <f t="shared" si="492"/>
        <v>80212</v>
      </c>
      <c r="AN456" s="113"/>
      <c r="AO456" s="113"/>
      <c r="AP456" s="113"/>
    </row>
    <row r="457" spans="1:42" s="23" customFormat="1" ht="21" customHeight="1">
      <c r="A457" s="64"/>
      <c r="B457" s="79"/>
      <c r="C457" s="83">
        <v>4120</v>
      </c>
      <c r="D457" s="37" t="s">
        <v>86</v>
      </c>
      <c r="E457" s="78">
        <v>11872</v>
      </c>
      <c r="F457" s="78"/>
      <c r="G457" s="78">
        <f t="shared" si="476"/>
        <v>11872</v>
      </c>
      <c r="H457" s="78"/>
      <c r="I457" s="78">
        <f t="shared" si="477"/>
        <v>11872</v>
      </c>
      <c r="J457" s="78"/>
      <c r="K457" s="78">
        <f t="shared" si="478"/>
        <v>11872</v>
      </c>
      <c r="L457" s="78"/>
      <c r="M457" s="78">
        <f t="shared" si="479"/>
        <v>11872</v>
      </c>
      <c r="N457" s="78"/>
      <c r="O457" s="78">
        <f t="shared" si="480"/>
        <v>11872</v>
      </c>
      <c r="P457" s="78"/>
      <c r="Q457" s="78">
        <f t="shared" si="481"/>
        <v>11872</v>
      </c>
      <c r="R457" s="78"/>
      <c r="S457" s="78">
        <f t="shared" si="482"/>
        <v>11872</v>
      </c>
      <c r="T457" s="78"/>
      <c r="U457" s="78">
        <f t="shared" si="483"/>
        <v>11872</v>
      </c>
      <c r="V457" s="78"/>
      <c r="W457" s="78">
        <f t="shared" si="484"/>
        <v>11872</v>
      </c>
      <c r="X457" s="78"/>
      <c r="Y457" s="78">
        <f t="shared" si="485"/>
        <v>11872</v>
      </c>
      <c r="Z457" s="78"/>
      <c r="AA457" s="78">
        <f t="shared" si="486"/>
        <v>11872</v>
      </c>
      <c r="AB457" s="78"/>
      <c r="AC457" s="78">
        <f t="shared" si="487"/>
        <v>11872</v>
      </c>
      <c r="AD457" s="78"/>
      <c r="AE457" s="78">
        <f t="shared" si="488"/>
        <v>11872</v>
      </c>
      <c r="AF457" s="78"/>
      <c r="AG457" s="78">
        <f t="shared" si="489"/>
        <v>11872</v>
      </c>
      <c r="AH457" s="78"/>
      <c r="AI457" s="78">
        <f t="shared" si="490"/>
        <v>11872</v>
      </c>
      <c r="AJ457" s="78">
        <f>-851+100</f>
        <v>-751</v>
      </c>
      <c r="AK457" s="78">
        <f t="shared" si="491"/>
        <v>11121</v>
      </c>
      <c r="AL457" s="78"/>
      <c r="AM457" s="78">
        <f t="shared" si="492"/>
        <v>11121</v>
      </c>
      <c r="AN457" s="113"/>
      <c r="AO457" s="113"/>
      <c r="AP457" s="113"/>
    </row>
    <row r="458" spans="1:39" s="23" customFormat="1" ht="21" customHeight="1">
      <c r="A458" s="64"/>
      <c r="B458" s="79"/>
      <c r="C458" s="83">
        <v>4210</v>
      </c>
      <c r="D458" s="37" t="s">
        <v>91</v>
      </c>
      <c r="E458" s="78">
        <v>6500</v>
      </c>
      <c r="F458" s="78"/>
      <c r="G458" s="78">
        <f t="shared" si="476"/>
        <v>6500</v>
      </c>
      <c r="H458" s="78"/>
      <c r="I458" s="78">
        <f t="shared" si="477"/>
        <v>6500</v>
      </c>
      <c r="J458" s="78"/>
      <c r="K458" s="78">
        <f t="shared" si="478"/>
        <v>6500</v>
      </c>
      <c r="L458" s="78"/>
      <c r="M458" s="78">
        <f t="shared" si="479"/>
        <v>6500</v>
      </c>
      <c r="N458" s="78"/>
      <c r="O458" s="78">
        <f t="shared" si="480"/>
        <v>6500</v>
      </c>
      <c r="P458" s="78"/>
      <c r="Q458" s="78">
        <f t="shared" si="481"/>
        <v>6500</v>
      </c>
      <c r="R458" s="78"/>
      <c r="S458" s="78">
        <f t="shared" si="482"/>
        <v>6500</v>
      </c>
      <c r="T458" s="78"/>
      <c r="U458" s="78">
        <f t="shared" si="483"/>
        <v>6500</v>
      </c>
      <c r="V458" s="78"/>
      <c r="W458" s="78">
        <f t="shared" si="484"/>
        <v>6500</v>
      </c>
      <c r="X458" s="78"/>
      <c r="Y458" s="78">
        <f t="shared" si="485"/>
        <v>6500</v>
      </c>
      <c r="Z458" s="78"/>
      <c r="AA458" s="78">
        <f t="shared" si="486"/>
        <v>6500</v>
      </c>
      <c r="AB458" s="78"/>
      <c r="AC458" s="78">
        <f t="shared" si="487"/>
        <v>6500</v>
      </c>
      <c r="AD458" s="78"/>
      <c r="AE458" s="78">
        <f t="shared" si="488"/>
        <v>6500</v>
      </c>
      <c r="AF458" s="78"/>
      <c r="AG458" s="78">
        <f t="shared" si="489"/>
        <v>6500</v>
      </c>
      <c r="AH458" s="78"/>
      <c r="AI458" s="78">
        <f t="shared" si="490"/>
        <v>6500</v>
      </c>
      <c r="AJ458" s="78">
        <f>800-700</f>
        <v>100</v>
      </c>
      <c r="AK458" s="78">
        <f t="shared" si="491"/>
        <v>6600</v>
      </c>
      <c r="AL458" s="78"/>
      <c r="AM458" s="78">
        <f t="shared" si="492"/>
        <v>6600</v>
      </c>
    </row>
    <row r="459" spans="1:39" s="23" customFormat="1" ht="21" customHeight="1">
      <c r="A459" s="64"/>
      <c r="B459" s="79"/>
      <c r="C459" s="83">
        <v>4240</v>
      </c>
      <c r="D459" s="37" t="s">
        <v>122</v>
      </c>
      <c r="E459" s="78">
        <v>5640</v>
      </c>
      <c r="F459" s="78"/>
      <c r="G459" s="78">
        <f t="shared" si="476"/>
        <v>5640</v>
      </c>
      <c r="H459" s="78"/>
      <c r="I459" s="78">
        <f t="shared" si="477"/>
        <v>5640</v>
      </c>
      <c r="J459" s="78"/>
      <c r="K459" s="78">
        <f t="shared" si="478"/>
        <v>5640</v>
      </c>
      <c r="L459" s="78"/>
      <c r="M459" s="78">
        <f t="shared" si="479"/>
        <v>5640</v>
      </c>
      <c r="N459" s="78"/>
      <c r="O459" s="78">
        <f t="shared" si="480"/>
        <v>5640</v>
      </c>
      <c r="P459" s="78"/>
      <c r="Q459" s="78">
        <f t="shared" si="481"/>
        <v>5640</v>
      </c>
      <c r="R459" s="78"/>
      <c r="S459" s="78">
        <f t="shared" si="482"/>
        <v>5640</v>
      </c>
      <c r="T459" s="78"/>
      <c r="U459" s="78">
        <f t="shared" si="483"/>
        <v>5640</v>
      </c>
      <c r="V459" s="78"/>
      <c r="W459" s="78">
        <f t="shared" si="484"/>
        <v>5640</v>
      </c>
      <c r="X459" s="78"/>
      <c r="Y459" s="78">
        <f t="shared" si="485"/>
        <v>5640</v>
      </c>
      <c r="Z459" s="78"/>
      <c r="AA459" s="78">
        <f t="shared" si="486"/>
        <v>5640</v>
      </c>
      <c r="AB459" s="78"/>
      <c r="AC459" s="78">
        <f t="shared" si="487"/>
        <v>5640</v>
      </c>
      <c r="AD459" s="78"/>
      <c r="AE459" s="78">
        <f t="shared" si="488"/>
        <v>5640</v>
      </c>
      <c r="AF459" s="78"/>
      <c r="AG459" s="78">
        <f t="shared" si="489"/>
        <v>5640</v>
      </c>
      <c r="AH459" s="78"/>
      <c r="AI459" s="78">
        <f t="shared" si="490"/>
        <v>5640</v>
      </c>
      <c r="AJ459" s="78">
        <f>958-608</f>
        <v>350</v>
      </c>
      <c r="AK459" s="78">
        <f t="shared" si="491"/>
        <v>5990</v>
      </c>
      <c r="AL459" s="78"/>
      <c r="AM459" s="78">
        <f t="shared" si="492"/>
        <v>5990</v>
      </c>
    </row>
    <row r="460" spans="1:39" s="23" customFormat="1" ht="21" customHeight="1">
      <c r="A460" s="64"/>
      <c r="B460" s="79"/>
      <c r="C460" s="83">
        <v>4280</v>
      </c>
      <c r="D460" s="37" t="s">
        <v>196</v>
      </c>
      <c r="E460" s="78">
        <v>600</v>
      </c>
      <c r="F460" s="78"/>
      <c r="G460" s="78">
        <f t="shared" si="476"/>
        <v>600</v>
      </c>
      <c r="H460" s="78"/>
      <c r="I460" s="78">
        <f t="shared" si="477"/>
        <v>600</v>
      </c>
      <c r="J460" s="78"/>
      <c r="K460" s="78">
        <f t="shared" si="478"/>
        <v>600</v>
      </c>
      <c r="L460" s="78"/>
      <c r="M460" s="78">
        <f t="shared" si="479"/>
        <v>600</v>
      </c>
      <c r="N460" s="78"/>
      <c r="O460" s="78">
        <f t="shared" si="480"/>
        <v>600</v>
      </c>
      <c r="P460" s="78"/>
      <c r="Q460" s="78">
        <f t="shared" si="481"/>
        <v>600</v>
      </c>
      <c r="R460" s="78"/>
      <c r="S460" s="78">
        <f t="shared" si="482"/>
        <v>600</v>
      </c>
      <c r="T460" s="78"/>
      <c r="U460" s="78">
        <f t="shared" si="483"/>
        <v>600</v>
      </c>
      <c r="V460" s="78"/>
      <c r="W460" s="78">
        <f t="shared" si="484"/>
        <v>600</v>
      </c>
      <c r="X460" s="78"/>
      <c r="Y460" s="78">
        <f t="shared" si="485"/>
        <v>600</v>
      </c>
      <c r="Z460" s="78"/>
      <c r="AA460" s="78">
        <f t="shared" si="486"/>
        <v>600</v>
      </c>
      <c r="AB460" s="78"/>
      <c r="AC460" s="78">
        <f t="shared" si="487"/>
        <v>600</v>
      </c>
      <c r="AD460" s="78"/>
      <c r="AE460" s="78">
        <f t="shared" si="488"/>
        <v>600</v>
      </c>
      <c r="AF460" s="78"/>
      <c r="AG460" s="78">
        <f t="shared" si="489"/>
        <v>600</v>
      </c>
      <c r="AH460" s="78"/>
      <c r="AI460" s="78">
        <f t="shared" si="490"/>
        <v>600</v>
      </c>
      <c r="AJ460" s="78">
        <v>-350</v>
      </c>
      <c r="AK460" s="78">
        <f t="shared" si="491"/>
        <v>250</v>
      </c>
      <c r="AL460" s="78"/>
      <c r="AM460" s="78">
        <f t="shared" si="492"/>
        <v>250</v>
      </c>
    </row>
    <row r="461" spans="1:39" s="23" customFormat="1" ht="21" customHeight="1">
      <c r="A461" s="64"/>
      <c r="B461" s="79"/>
      <c r="C461" s="83">
        <v>4300</v>
      </c>
      <c r="D461" s="37" t="s">
        <v>78</v>
      </c>
      <c r="E461" s="78">
        <v>200</v>
      </c>
      <c r="F461" s="78"/>
      <c r="G461" s="78">
        <f t="shared" si="476"/>
        <v>200</v>
      </c>
      <c r="H461" s="78"/>
      <c r="I461" s="78">
        <f t="shared" si="477"/>
        <v>200</v>
      </c>
      <c r="J461" s="78"/>
      <c r="K461" s="78">
        <f t="shared" si="478"/>
        <v>200</v>
      </c>
      <c r="L461" s="78"/>
      <c r="M461" s="78">
        <f t="shared" si="479"/>
        <v>200</v>
      </c>
      <c r="N461" s="78"/>
      <c r="O461" s="78">
        <f t="shared" si="480"/>
        <v>200</v>
      </c>
      <c r="P461" s="78"/>
      <c r="Q461" s="78">
        <f t="shared" si="481"/>
        <v>200</v>
      </c>
      <c r="R461" s="78"/>
      <c r="S461" s="78">
        <f t="shared" si="482"/>
        <v>200</v>
      </c>
      <c r="T461" s="78"/>
      <c r="U461" s="78">
        <f t="shared" si="483"/>
        <v>200</v>
      </c>
      <c r="V461" s="78"/>
      <c r="W461" s="78">
        <f t="shared" si="484"/>
        <v>200</v>
      </c>
      <c r="X461" s="78"/>
      <c r="Y461" s="78">
        <f t="shared" si="485"/>
        <v>200</v>
      </c>
      <c r="Z461" s="78"/>
      <c r="AA461" s="78">
        <f t="shared" si="486"/>
        <v>200</v>
      </c>
      <c r="AB461" s="78"/>
      <c r="AC461" s="78">
        <f t="shared" si="487"/>
        <v>200</v>
      </c>
      <c r="AD461" s="78"/>
      <c r="AE461" s="78">
        <f t="shared" si="488"/>
        <v>200</v>
      </c>
      <c r="AF461" s="78"/>
      <c r="AG461" s="78">
        <f t="shared" si="489"/>
        <v>200</v>
      </c>
      <c r="AH461" s="78"/>
      <c r="AI461" s="78">
        <f t="shared" si="490"/>
        <v>200</v>
      </c>
      <c r="AJ461" s="78">
        <v>-100</v>
      </c>
      <c r="AK461" s="78">
        <f t="shared" si="491"/>
        <v>100</v>
      </c>
      <c r="AL461" s="78"/>
      <c r="AM461" s="78">
        <f t="shared" si="492"/>
        <v>100</v>
      </c>
    </row>
    <row r="462" spans="1:39" s="23" customFormat="1" ht="22.5">
      <c r="A462" s="64"/>
      <c r="B462" s="79"/>
      <c r="C462" s="83">
        <v>4440</v>
      </c>
      <c r="D462" s="37" t="s">
        <v>87</v>
      </c>
      <c r="E462" s="78">
        <v>33191</v>
      </c>
      <c r="F462" s="78"/>
      <c r="G462" s="78">
        <f t="shared" si="476"/>
        <v>33191</v>
      </c>
      <c r="H462" s="78"/>
      <c r="I462" s="78">
        <f t="shared" si="477"/>
        <v>33191</v>
      </c>
      <c r="J462" s="78"/>
      <c r="K462" s="78">
        <f t="shared" si="478"/>
        <v>33191</v>
      </c>
      <c r="L462" s="78"/>
      <c r="M462" s="78">
        <f t="shared" si="479"/>
        <v>33191</v>
      </c>
      <c r="N462" s="78"/>
      <c r="O462" s="78">
        <f t="shared" si="480"/>
        <v>33191</v>
      </c>
      <c r="P462" s="78"/>
      <c r="Q462" s="78">
        <f t="shared" si="481"/>
        <v>33191</v>
      </c>
      <c r="R462" s="78"/>
      <c r="S462" s="78">
        <f t="shared" si="482"/>
        <v>33191</v>
      </c>
      <c r="T462" s="78"/>
      <c r="U462" s="78">
        <f t="shared" si="483"/>
        <v>33191</v>
      </c>
      <c r="V462" s="78"/>
      <c r="W462" s="78">
        <f t="shared" si="484"/>
        <v>33191</v>
      </c>
      <c r="X462" s="78"/>
      <c r="Y462" s="78">
        <f t="shared" si="485"/>
        <v>33191</v>
      </c>
      <c r="Z462" s="78"/>
      <c r="AA462" s="78">
        <f t="shared" si="486"/>
        <v>33191</v>
      </c>
      <c r="AB462" s="78"/>
      <c r="AC462" s="78">
        <f t="shared" si="487"/>
        <v>33191</v>
      </c>
      <c r="AD462" s="78"/>
      <c r="AE462" s="78">
        <f t="shared" si="488"/>
        <v>33191</v>
      </c>
      <c r="AF462" s="78"/>
      <c r="AG462" s="78">
        <f t="shared" si="489"/>
        <v>33191</v>
      </c>
      <c r="AH462" s="78"/>
      <c r="AI462" s="78">
        <f t="shared" si="490"/>
        <v>33191</v>
      </c>
      <c r="AJ462" s="78"/>
      <c r="AK462" s="78">
        <f t="shared" si="491"/>
        <v>33191</v>
      </c>
      <c r="AL462" s="78"/>
      <c r="AM462" s="78">
        <f t="shared" si="492"/>
        <v>33191</v>
      </c>
    </row>
    <row r="463" spans="1:39" s="23" customFormat="1" ht="33.75">
      <c r="A463" s="64"/>
      <c r="B463" s="79" t="s">
        <v>125</v>
      </c>
      <c r="C463" s="83"/>
      <c r="D463" s="37" t="s">
        <v>156</v>
      </c>
      <c r="E463" s="78">
        <f aca="true" t="shared" si="493" ref="E463:Q463">SUM(E466:E467)</f>
        <v>102899</v>
      </c>
      <c r="F463" s="78">
        <f t="shared" si="493"/>
        <v>-100000</v>
      </c>
      <c r="G463" s="78">
        <f t="shared" si="493"/>
        <v>2899</v>
      </c>
      <c r="H463" s="78">
        <f t="shared" si="493"/>
        <v>0</v>
      </c>
      <c r="I463" s="78">
        <f t="shared" si="493"/>
        <v>2899</v>
      </c>
      <c r="J463" s="78">
        <f t="shared" si="493"/>
        <v>0</v>
      </c>
      <c r="K463" s="78">
        <f t="shared" si="493"/>
        <v>2899</v>
      </c>
      <c r="L463" s="78">
        <f t="shared" si="493"/>
        <v>63850</v>
      </c>
      <c r="M463" s="78">
        <f t="shared" si="493"/>
        <v>66749</v>
      </c>
      <c r="N463" s="78">
        <f t="shared" si="493"/>
        <v>0</v>
      </c>
      <c r="O463" s="78">
        <f t="shared" si="493"/>
        <v>66749</v>
      </c>
      <c r="P463" s="78">
        <f t="shared" si="493"/>
        <v>0</v>
      </c>
      <c r="Q463" s="78">
        <f t="shared" si="493"/>
        <v>66749</v>
      </c>
      <c r="R463" s="78">
        <f>SUM(R466:R467)</f>
        <v>-63850</v>
      </c>
      <c r="S463" s="78">
        <f>SUM(S466:S467)</f>
        <v>2899</v>
      </c>
      <c r="T463" s="78">
        <f>SUM(T466:T467)</f>
        <v>0</v>
      </c>
      <c r="U463" s="78">
        <f aca="true" t="shared" si="494" ref="U463:AA463">SUM(U464:U467)</f>
        <v>2899</v>
      </c>
      <c r="V463" s="78">
        <f t="shared" si="494"/>
        <v>40000</v>
      </c>
      <c r="W463" s="78">
        <f t="shared" si="494"/>
        <v>42899</v>
      </c>
      <c r="X463" s="78">
        <f t="shared" si="494"/>
        <v>0</v>
      </c>
      <c r="Y463" s="78">
        <f t="shared" si="494"/>
        <v>42899</v>
      </c>
      <c r="Z463" s="78">
        <f t="shared" si="494"/>
        <v>0</v>
      </c>
      <c r="AA463" s="78">
        <f t="shared" si="494"/>
        <v>42899</v>
      </c>
      <c r="AB463" s="78">
        <f aca="true" t="shared" si="495" ref="AB463:AG463">SUM(AB464:AB467)</f>
        <v>0</v>
      </c>
      <c r="AC463" s="78">
        <f t="shared" si="495"/>
        <v>42899</v>
      </c>
      <c r="AD463" s="78">
        <f t="shared" si="495"/>
        <v>1500</v>
      </c>
      <c r="AE463" s="78">
        <f t="shared" si="495"/>
        <v>44399</v>
      </c>
      <c r="AF463" s="78">
        <f t="shared" si="495"/>
        <v>0</v>
      </c>
      <c r="AG463" s="78">
        <f t="shared" si="495"/>
        <v>44399</v>
      </c>
      <c r="AH463" s="78">
        <f aca="true" t="shared" si="496" ref="AH463:AM463">SUM(AH464:AH467)</f>
        <v>0</v>
      </c>
      <c r="AI463" s="78">
        <f t="shared" si="496"/>
        <v>44399</v>
      </c>
      <c r="AJ463" s="78">
        <f t="shared" si="496"/>
        <v>0</v>
      </c>
      <c r="AK463" s="78">
        <f t="shared" si="496"/>
        <v>44399</v>
      </c>
      <c r="AL463" s="78">
        <f t="shared" si="496"/>
        <v>0</v>
      </c>
      <c r="AM463" s="78">
        <f t="shared" si="496"/>
        <v>44399</v>
      </c>
    </row>
    <row r="464" spans="1:39" s="23" customFormat="1" ht="45">
      <c r="A464" s="64"/>
      <c r="B464" s="79"/>
      <c r="C464" s="83">
        <v>2320</v>
      </c>
      <c r="D464" s="37" t="s">
        <v>148</v>
      </c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>
        <v>0</v>
      </c>
      <c r="V464" s="78">
        <v>12000</v>
      </c>
      <c r="W464" s="78">
        <f>SUM(U464:V464)</f>
        <v>12000</v>
      </c>
      <c r="X464" s="78"/>
      <c r="Y464" s="78">
        <f>SUM(W464:X464)</f>
        <v>12000</v>
      </c>
      <c r="Z464" s="78"/>
      <c r="AA464" s="78">
        <f>SUM(Y464:Z464)</f>
        <v>12000</v>
      </c>
      <c r="AB464" s="78"/>
      <c r="AC464" s="78">
        <f>SUM(AA464:AB464)</f>
        <v>12000</v>
      </c>
      <c r="AD464" s="78"/>
      <c r="AE464" s="78">
        <f>SUM(AC464:AD464)</f>
        <v>12000</v>
      </c>
      <c r="AF464" s="78"/>
      <c r="AG464" s="78">
        <f>SUM(AE464:AF464)</f>
        <v>12000</v>
      </c>
      <c r="AH464" s="78"/>
      <c r="AI464" s="78">
        <f>SUM(AG464:AH464)</f>
        <v>12000</v>
      </c>
      <c r="AJ464" s="78"/>
      <c r="AK464" s="78">
        <f>SUM(AI464:AJ464)</f>
        <v>12000</v>
      </c>
      <c r="AL464" s="78"/>
      <c r="AM464" s="78">
        <f>SUM(AK464:AL464)</f>
        <v>12000</v>
      </c>
    </row>
    <row r="465" spans="1:39" s="23" customFormat="1" ht="56.25">
      <c r="A465" s="64"/>
      <c r="B465" s="79"/>
      <c r="C465" s="83">
        <v>2830</v>
      </c>
      <c r="D465" s="12" t="s">
        <v>282</v>
      </c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>
        <v>0</v>
      </c>
      <c r="V465" s="78">
        <v>28000</v>
      </c>
      <c r="W465" s="78">
        <f>SUM(U465:V465)</f>
        <v>28000</v>
      </c>
      <c r="X465" s="78"/>
      <c r="Y465" s="78">
        <f>SUM(W465:X465)</f>
        <v>28000</v>
      </c>
      <c r="Z465" s="78"/>
      <c r="AA465" s="78">
        <f>SUM(Y465:Z465)</f>
        <v>28000</v>
      </c>
      <c r="AB465" s="78"/>
      <c r="AC465" s="78">
        <f>SUM(AA465:AB465)</f>
        <v>28000</v>
      </c>
      <c r="AD465" s="78"/>
      <c r="AE465" s="78">
        <f>SUM(AC465:AD465)</f>
        <v>28000</v>
      </c>
      <c r="AF465" s="78"/>
      <c r="AG465" s="78">
        <f>SUM(AE465:AF465)</f>
        <v>28000</v>
      </c>
      <c r="AH465" s="78"/>
      <c r="AI465" s="78">
        <f>SUM(AG465:AH465)</f>
        <v>28000</v>
      </c>
      <c r="AJ465" s="78"/>
      <c r="AK465" s="78">
        <f>SUM(AI465:AJ465)</f>
        <v>28000</v>
      </c>
      <c r="AL465" s="78"/>
      <c r="AM465" s="78">
        <f>SUM(AK465:AL465)</f>
        <v>28000</v>
      </c>
    </row>
    <row r="466" spans="1:39" s="23" customFormat="1" ht="21.75" customHeight="1">
      <c r="A466" s="64"/>
      <c r="B466" s="79"/>
      <c r="C466" s="83">
        <v>4210</v>
      </c>
      <c r="D466" s="37" t="s">
        <v>91</v>
      </c>
      <c r="E466" s="78">
        <f>1968+931</f>
        <v>2899</v>
      </c>
      <c r="F466" s="78"/>
      <c r="G466" s="78">
        <f>SUM(E466:F466)</f>
        <v>2899</v>
      </c>
      <c r="H466" s="78"/>
      <c r="I466" s="78">
        <f>SUM(G466:H466)</f>
        <v>2899</v>
      </c>
      <c r="J466" s="78"/>
      <c r="K466" s="78">
        <f>SUM(I466:J466)</f>
        <v>2899</v>
      </c>
      <c r="L466" s="78"/>
      <c r="M466" s="78">
        <f>SUM(K466:L466)</f>
        <v>2899</v>
      </c>
      <c r="N466" s="78"/>
      <c r="O466" s="78">
        <f>SUM(M466:N466)</f>
        <v>2899</v>
      </c>
      <c r="P466" s="78"/>
      <c r="Q466" s="78">
        <f>SUM(O466:P466)</f>
        <v>2899</v>
      </c>
      <c r="R466" s="78"/>
      <c r="S466" s="78">
        <f>SUM(Q466:R466)</f>
        <v>2899</v>
      </c>
      <c r="T466" s="78"/>
      <c r="U466" s="78">
        <f>SUM(S466:T466)</f>
        <v>2899</v>
      </c>
      <c r="V466" s="78"/>
      <c r="W466" s="78">
        <f>SUM(U466:V466)</f>
        <v>2899</v>
      </c>
      <c r="X466" s="78"/>
      <c r="Y466" s="78">
        <f>SUM(W466:X466)</f>
        <v>2899</v>
      </c>
      <c r="Z466" s="78"/>
      <c r="AA466" s="78">
        <f>SUM(Y466:Z466)</f>
        <v>2899</v>
      </c>
      <c r="AB466" s="78"/>
      <c r="AC466" s="78">
        <f>SUM(AA466:AB466)</f>
        <v>2899</v>
      </c>
      <c r="AD466" s="78">
        <v>1500</v>
      </c>
      <c r="AE466" s="78">
        <f>SUM(AC466:AD466)</f>
        <v>4399</v>
      </c>
      <c r="AF466" s="78"/>
      <c r="AG466" s="78">
        <f>SUM(AE466:AF466)</f>
        <v>4399</v>
      </c>
      <c r="AH466" s="78"/>
      <c r="AI466" s="78">
        <f>SUM(AG466:AH466)</f>
        <v>4399</v>
      </c>
      <c r="AJ466" s="78"/>
      <c r="AK466" s="78">
        <f>SUM(AI466:AJ466)</f>
        <v>4399</v>
      </c>
      <c r="AL466" s="78"/>
      <c r="AM466" s="78">
        <f>SUM(AK466:AL466)</f>
        <v>4399</v>
      </c>
    </row>
    <row r="467" spans="1:39" s="23" customFormat="1" ht="22.5">
      <c r="A467" s="83"/>
      <c r="B467" s="84"/>
      <c r="C467" s="83">
        <v>6050</v>
      </c>
      <c r="D467" s="37" t="s">
        <v>72</v>
      </c>
      <c r="E467" s="78">
        <v>100000</v>
      </c>
      <c r="F467" s="78">
        <v>-100000</v>
      </c>
      <c r="G467" s="78">
        <f>SUM(E467:F467)</f>
        <v>0</v>
      </c>
      <c r="H467" s="78"/>
      <c r="I467" s="78">
        <f>SUM(G467:H467)</f>
        <v>0</v>
      </c>
      <c r="J467" s="78"/>
      <c r="K467" s="78">
        <f>SUM(I467:J467)</f>
        <v>0</v>
      </c>
      <c r="L467" s="78">
        <v>63850</v>
      </c>
      <c r="M467" s="78">
        <f>SUM(K467:L467)</f>
        <v>63850</v>
      </c>
      <c r="N467" s="78"/>
      <c r="O467" s="78">
        <f>SUM(M467:N467)</f>
        <v>63850</v>
      </c>
      <c r="P467" s="78"/>
      <c r="Q467" s="78">
        <f>SUM(O467:P467)</f>
        <v>63850</v>
      </c>
      <c r="R467" s="78">
        <v>-63850</v>
      </c>
      <c r="S467" s="78">
        <f>SUM(Q467:R467)</f>
        <v>0</v>
      </c>
      <c r="T467" s="78"/>
      <c r="U467" s="78">
        <f>SUM(S467:T467)</f>
        <v>0</v>
      </c>
      <c r="V467" s="78"/>
      <c r="W467" s="78">
        <f>SUM(U467:V467)</f>
        <v>0</v>
      </c>
      <c r="X467" s="78"/>
      <c r="Y467" s="78">
        <f>SUM(W467:X467)</f>
        <v>0</v>
      </c>
      <c r="Z467" s="78"/>
      <c r="AA467" s="78">
        <f>SUM(Y467:Z467)</f>
        <v>0</v>
      </c>
      <c r="AB467" s="78"/>
      <c r="AC467" s="78">
        <f>SUM(AA467:AB467)</f>
        <v>0</v>
      </c>
      <c r="AD467" s="78"/>
      <c r="AE467" s="78">
        <f>SUM(AC467:AD467)</f>
        <v>0</v>
      </c>
      <c r="AF467" s="78"/>
      <c r="AG467" s="78">
        <f>SUM(AE467:AF467)</f>
        <v>0</v>
      </c>
      <c r="AH467" s="78"/>
      <c r="AI467" s="78">
        <f>SUM(AG467:AH467)</f>
        <v>0</v>
      </c>
      <c r="AJ467" s="78"/>
      <c r="AK467" s="78">
        <f>SUM(AI467:AJ467)</f>
        <v>0</v>
      </c>
      <c r="AL467" s="78"/>
      <c r="AM467" s="78">
        <f>SUM(AK467:AL467)</f>
        <v>0</v>
      </c>
    </row>
    <row r="468" spans="1:39" s="23" customFormat="1" ht="21" customHeight="1">
      <c r="A468" s="83"/>
      <c r="B468" s="84">
        <v>85415</v>
      </c>
      <c r="C468" s="83"/>
      <c r="D468" s="37" t="s">
        <v>223</v>
      </c>
      <c r="E468" s="78">
        <f aca="true" t="shared" si="497" ref="E468:V468">SUM(E469)</f>
        <v>113000</v>
      </c>
      <c r="F468" s="78">
        <f t="shared" si="497"/>
        <v>0</v>
      </c>
      <c r="G468" s="78">
        <f t="shared" si="497"/>
        <v>113000</v>
      </c>
      <c r="H468" s="78">
        <f t="shared" si="497"/>
        <v>0</v>
      </c>
      <c r="I468" s="78">
        <f t="shared" si="497"/>
        <v>113000</v>
      </c>
      <c r="J468" s="78">
        <f t="shared" si="497"/>
        <v>0</v>
      </c>
      <c r="K468" s="78">
        <f t="shared" si="497"/>
        <v>113000</v>
      </c>
      <c r="L468" s="78">
        <f t="shared" si="497"/>
        <v>0</v>
      </c>
      <c r="M468" s="78">
        <f t="shared" si="497"/>
        <v>113000</v>
      </c>
      <c r="N468" s="78">
        <f t="shared" si="497"/>
        <v>279792</v>
      </c>
      <c r="O468" s="78">
        <f t="shared" si="497"/>
        <v>392792</v>
      </c>
      <c r="P468" s="78">
        <f t="shared" si="497"/>
        <v>0</v>
      </c>
      <c r="Q468" s="78">
        <f t="shared" si="497"/>
        <v>392792</v>
      </c>
      <c r="R468" s="78">
        <f t="shared" si="497"/>
        <v>0</v>
      </c>
      <c r="S468" s="78">
        <f t="shared" si="497"/>
        <v>392792</v>
      </c>
      <c r="T468" s="78">
        <f t="shared" si="497"/>
        <v>0</v>
      </c>
      <c r="U468" s="78">
        <f t="shared" si="497"/>
        <v>392792</v>
      </c>
      <c r="V468" s="78">
        <f t="shared" si="497"/>
        <v>0</v>
      </c>
      <c r="W468" s="78">
        <f aca="true" t="shared" si="498" ref="W468:AC468">SUM(W469:W470)</f>
        <v>392792</v>
      </c>
      <c r="X468" s="78">
        <f t="shared" si="498"/>
        <v>0</v>
      </c>
      <c r="Y468" s="78">
        <f t="shared" si="498"/>
        <v>392792</v>
      </c>
      <c r="Z468" s="78">
        <f t="shared" si="498"/>
        <v>60600</v>
      </c>
      <c r="AA468" s="78">
        <f t="shared" si="498"/>
        <v>453392</v>
      </c>
      <c r="AB468" s="78">
        <f t="shared" si="498"/>
        <v>0</v>
      </c>
      <c r="AC468" s="78">
        <f t="shared" si="498"/>
        <v>453392</v>
      </c>
      <c r="AD468" s="78">
        <f aca="true" t="shared" si="499" ref="AD468:AI468">SUM(AD469:AD470)</f>
        <v>0</v>
      </c>
      <c r="AE468" s="78">
        <f t="shared" si="499"/>
        <v>453392</v>
      </c>
      <c r="AF468" s="78">
        <f t="shared" si="499"/>
        <v>0</v>
      </c>
      <c r="AG468" s="78">
        <f t="shared" si="499"/>
        <v>453392</v>
      </c>
      <c r="AH468" s="78">
        <f t="shared" si="499"/>
        <v>0</v>
      </c>
      <c r="AI468" s="78">
        <f t="shared" si="499"/>
        <v>453392</v>
      </c>
      <c r="AJ468" s="78">
        <f>SUM(AJ469:AJ470)</f>
        <v>158523</v>
      </c>
      <c r="AK468" s="78">
        <f>SUM(AK469:AK470)</f>
        <v>611915</v>
      </c>
      <c r="AL468" s="78">
        <f>SUM(AL469:AL470)</f>
        <v>0</v>
      </c>
      <c r="AM468" s="78">
        <f>SUM(AM469:AM470)</f>
        <v>611915</v>
      </c>
    </row>
    <row r="469" spans="1:39" s="23" customFormat="1" ht="21" customHeight="1">
      <c r="A469" s="83"/>
      <c r="B469" s="84"/>
      <c r="C469" s="83">
        <v>3240</v>
      </c>
      <c r="D469" s="37" t="s">
        <v>224</v>
      </c>
      <c r="E469" s="78">
        <v>113000</v>
      </c>
      <c r="F469" s="78"/>
      <c r="G469" s="78">
        <f>SUM(E469:F469)</f>
        <v>113000</v>
      </c>
      <c r="H469" s="78"/>
      <c r="I469" s="78">
        <f>SUM(G469:H469)</f>
        <v>113000</v>
      </c>
      <c r="J469" s="78"/>
      <c r="K469" s="78">
        <f>SUM(I469:J469)</f>
        <v>113000</v>
      </c>
      <c r="L469" s="78"/>
      <c r="M469" s="78">
        <f>SUM(K469:L469)</f>
        <v>113000</v>
      </c>
      <c r="N469" s="78">
        <v>279792</v>
      </c>
      <c r="O469" s="78">
        <f>SUM(M469:N469)</f>
        <v>392792</v>
      </c>
      <c r="P469" s="78"/>
      <c r="Q469" s="78">
        <f>SUM(O469:P469)</f>
        <v>392792</v>
      </c>
      <c r="R469" s="78"/>
      <c r="S469" s="78">
        <f>SUM(Q469:R469)</f>
        <v>392792</v>
      </c>
      <c r="T469" s="78"/>
      <c r="U469" s="78">
        <f>SUM(S469:T469)</f>
        <v>392792</v>
      </c>
      <c r="V469" s="78"/>
      <c r="W469" s="78">
        <f>SUM(U469:V469)</f>
        <v>392792</v>
      </c>
      <c r="X469" s="78"/>
      <c r="Y469" s="78">
        <f>SUM(W469:X469)</f>
        <v>392792</v>
      </c>
      <c r="Z469" s="78"/>
      <c r="AA469" s="78">
        <f>SUM(Y469:Z469)</f>
        <v>392792</v>
      </c>
      <c r="AB469" s="78"/>
      <c r="AC469" s="78">
        <f>SUM(AA469:AB469)</f>
        <v>392792</v>
      </c>
      <c r="AD469" s="78"/>
      <c r="AE469" s="78">
        <f>SUM(AC469:AD469)</f>
        <v>392792</v>
      </c>
      <c r="AF469" s="78"/>
      <c r="AG469" s="78">
        <f>SUM(AE469:AF469)</f>
        <v>392792</v>
      </c>
      <c r="AH469" s="78"/>
      <c r="AI469" s="78">
        <f>SUM(AG469:AH469)</f>
        <v>392792</v>
      </c>
      <c r="AJ469" s="78">
        <v>158523</v>
      </c>
      <c r="AK469" s="78">
        <f>SUM(AI469:AJ469)</f>
        <v>551315</v>
      </c>
      <c r="AL469" s="78">
        <v>-960</v>
      </c>
      <c r="AM469" s="78">
        <f>SUM(AK469:AL469)</f>
        <v>550355</v>
      </c>
    </row>
    <row r="470" spans="1:39" s="23" customFormat="1" ht="21" customHeight="1">
      <c r="A470" s="83"/>
      <c r="B470" s="84"/>
      <c r="C470" s="83">
        <v>3260</v>
      </c>
      <c r="D470" s="37" t="s">
        <v>420</v>
      </c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>
        <v>0</v>
      </c>
      <c r="X470" s="78"/>
      <c r="Y470" s="78">
        <f>SUM(W470:X470)</f>
        <v>0</v>
      </c>
      <c r="Z470" s="78">
        <v>60600</v>
      </c>
      <c r="AA470" s="78">
        <f>SUM(Y470:Z470)</f>
        <v>60600</v>
      </c>
      <c r="AB470" s="78"/>
      <c r="AC470" s="78">
        <f>SUM(AA470:AB470)</f>
        <v>60600</v>
      </c>
      <c r="AD470" s="78"/>
      <c r="AE470" s="78">
        <f>SUM(AC470:AD470)</f>
        <v>60600</v>
      </c>
      <c r="AF470" s="78"/>
      <c r="AG470" s="78">
        <f>SUM(AE470:AF470)</f>
        <v>60600</v>
      </c>
      <c r="AH470" s="78"/>
      <c r="AI470" s="78">
        <f>SUM(AG470:AH470)</f>
        <v>60600</v>
      </c>
      <c r="AJ470" s="78"/>
      <c r="AK470" s="78">
        <f>SUM(AI470:AJ470)</f>
        <v>60600</v>
      </c>
      <c r="AL470" s="78">
        <v>960</v>
      </c>
      <c r="AM470" s="78">
        <f>SUM(AK470:AL470)</f>
        <v>61560</v>
      </c>
    </row>
    <row r="471" spans="1:39" s="23" customFormat="1" ht="21" customHeight="1">
      <c r="A471" s="83"/>
      <c r="B471" s="84">
        <v>85446</v>
      </c>
      <c r="C471" s="83"/>
      <c r="D471" s="37" t="s">
        <v>145</v>
      </c>
      <c r="E471" s="78">
        <f aca="true" t="shared" si="500" ref="E471:J471">SUM(E472:E472)</f>
        <v>4445</v>
      </c>
      <c r="F471" s="78">
        <f t="shared" si="500"/>
        <v>0</v>
      </c>
      <c r="G471" s="78">
        <f t="shared" si="500"/>
        <v>4445</v>
      </c>
      <c r="H471" s="78">
        <f t="shared" si="500"/>
        <v>0</v>
      </c>
      <c r="I471" s="78">
        <f t="shared" si="500"/>
        <v>4445</v>
      </c>
      <c r="J471" s="78">
        <f t="shared" si="500"/>
        <v>0</v>
      </c>
      <c r="K471" s="78">
        <f aca="true" t="shared" si="501" ref="K471:W471">SUM(K472:K474)</f>
        <v>4445</v>
      </c>
      <c r="L471" s="78">
        <f t="shared" si="501"/>
        <v>0</v>
      </c>
      <c r="M471" s="78">
        <f t="shared" si="501"/>
        <v>4445</v>
      </c>
      <c r="N471" s="78">
        <f t="shared" si="501"/>
        <v>0</v>
      </c>
      <c r="O471" s="78">
        <f t="shared" si="501"/>
        <v>4445</v>
      </c>
      <c r="P471" s="78">
        <f t="shared" si="501"/>
        <v>0</v>
      </c>
      <c r="Q471" s="78">
        <f t="shared" si="501"/>
        <v>4445</v>
      </c>
      <c r="R471" s="78">
        <f t="shared" si="501"/>
        <v>-821</v>
      </c>
      <c r="S471" s="78">
        <f t="shared" si="501"/>
        <v>3624</v>
      </c>
      <c r="T471" s="78">
        <f t="shared" si="501"/>
        <v>0</v>
      </c>
      <c r="U471" s="78">
        <f t="shared" si="501"/>
        <v>3624</v>
      </c>
      <c r="V471" s="78">
        <f t="shared" si="501"/>
        <v>0</v>
      </c>
      <c r="W471" s="78">
        <f t="shared" si="501"/>
        <v>3624</v>
      </c>
      <c r="X471" s="78">
        <f aca="true" t="shared" si="502" ref="X471:AC471">SUM(X472:X474)</f>
        <v>0</v>
      </c>
      <c r="Y471" s="78">
        <f t="shared" si="502"/>
        <v>3624</v>
      </c>
      <c r="Z471" s="78">
        <f t="shared" si="502"/>
        <v>0</v>
      </c>
      <c r="AA471" s="78">
        <f t="shared" si="502"/>
        <v>3624</v>
      </c>
      <c r="AB471" s="78">
        <f t="shared" si="502"/>
        <v>0</v>
      </c>
      <c r="AC471" s="78">
        <f t="shared" si="502"/>
        <v>3624</v>
      </c>
      <c r="AD471" s="78">
        <f aca="true" t="shared" si="503" ref="AD471:AI471">SUM(AD472:AD474)</f>
        <v>0</v>
      </c>
      <c r="AE471" s="78">
        <f t="shared" si="503"/>
        <v>3624</v>
      </c>
      <c r="AF471" s="78">
        <f t="shared" si="503"/>
        <v>0</v>
      </c>
      <c r="AG471" s="78">
        <f t="shared" si="503"/>
        <v>3624</v>
      </c>
      <c r="AH471" s="78">
        <f t="shared" si="503"/>
        <v>0</v>
      </c>
      <c r="AI471" s="78">
        <f t="shared" si="503"/>
        <v>3624</v>
      </c>
      <c r="AJ471" s="78">
        <f>SUM(AJ472:AJ474)</f>
        <v>-1008</v>
      </c>
      <c r="AK471" s="78">
        <f>SUM(AK472:AK474)</f>
        <v>2616</v>
      </c>
      <c r="AL471" s="78">
        <f>SUM(AL472:AL474)</f>
        <v>0</v>
      </c>
      <c r="AM471" s="78">
        <f>SUM(AM472:AM474)</f>
        <v>2616</v>
      </c>
    </row>
    <row r="472" spans="1:39" s="23" customFormat="1" ht="21" customHeight="1">
      <c r="A472" s="83"/>
      <c r="B472" s="84"/>
      <c r="C472" s="83">
        <v>4300</v>
      </c>
      <c r="D472" s="37" t="s">
        <v>78</v>
      </c>
      <c r="E472" s="78">
        <v>4445</v>
      </c>
      <c r="F472" s="78"/>
      <c r="G472" s="78">
        <f>SUM(E472:F472)</f>
        <v>4445</v>
      </c>
      <c r="H472" s="78"/>
      <c r="I472" s="78">
        <f>SUM(G472:H472)</f>
        <v>4445</v>
      </c>
      <c r="J472" s="78"/>
      <c r="K472" s="78">
        <f>SUM(I472:J472)</f>
        <v>4445</v>
      </c>
      <c r="L472" s="78">
        <v>-2662</v>
      </c>
      <c r="M472" s="78">
        <f>SUM(K472:L472)</f>
        <v>1783</v>
      </c>
      <c r="N472" s="78">
        <v>-812</v>
      </c>
      <c r="O472" s="78">
        <f>SUM(M472:N472)</f>
        <v>971</v>
      </c>
      <c r="P472" s="78"/>
      <c r="Q472" s="78">
        <f>SUM(O472:P472)</f>
        <v>971</v>
      </c>
      <c r="R472" s="78">
        <v>-821</v>
      </c>
      <c r="S472" s="78">
        <f>SUM(Q472:R472)</f>
        <v>150</v>
      </c>
      <c r="T472" s="78"/>
      <c r="U472" s="78">
        <f>SUM(S472:T472)</f>
        <v>150</v>
      </c>
      <c r="V472" s="78"/>
      <c r="W472" s="78">
        <f>SUM(U472:V472)</f>
        <v>150</v>
      </c>
      <c r="X472" s="78"/>
      <c r="Y472" s="78">
        <f>SUM(W472:X472)</f>
        <v>150</v>
      </c>
      <c r="Z472" s="78"/>
      <c r="AA472" s="78">
        <f>SUM(Y472:Z472)</f>
        <v>150</v>
      </c>
      <c r="AB472" s="78"/>
      <c r="AC472" s="78">
        <f>SUM(AA472:AB472)</f>
        <v>150</v>
      </c>
      <c r="AD472" s="78"/>
      <c r="AE472" s="78">
        <f>SUM(AC472:AD472)</f>
        <v>150</v>
      </c>
      <c r="AF472" s="78"/>
      <c r="AG472" s="78">
        <f>SUM(AE472:AF472)</f>
        <v>150</v>
      </c>
      <c r="AH472" s="78"/>
      <c r="AI472" s="78">
        <f>SUM(AG472:AH472)</f>
        <v>150</v>
      </c>
      <c r="AJ472" s="78"/>
      <c r="AK472" s="78">
        <f>SUM(AI472:AJ472)</f>
        <v>150</v>
      </c>
      <c r="AL472" s="78"/>
      <c r="AM472" s="78">
        <f>SUM(AK472:AL472)</f>
        <v>150</v>
      </c>
    </row>
    <row r="473" spans="1:39" s="23" customFormat="1" ht="21" customHeight="1">
      <c r="A473" s="83"/>
      <c r="B473" s="84"/>
      <c r="C473" s="83">
        <v>4410</v>
      </c>
      <c r="D473" s="37" t="s">
        <v>89</v>
      </c>
      <c r="E473" s="78"/>
      <c r="F473" s="78"/>
      <c r="G473" s="78"/>
      <c r="H473" s="78"/>
      <c r="I473" s="78"/>
      <c r="J473" s="78"/>
      <c r="K473" s="78">
        <v>0</v>
      </c>
      <c r="L473" s="78">
        <v>1012</v>
      </c>
      <c r="M473" s="78">
        <f>SUM(K473:L473)</f>
        <v>1012</v>
      </c>
      <c r="N473" s="78"/>
      <c r="O473" s="78">
        <f>SUM(M473:N473)</f>
        <v>1012</v>
      </c>
      <c r="P473" s="78"/>
      <c r="Q473" s="78">
        <f>SUM(O473:P473)</f>
        <v>1012</v>
      </c>
      <c r="R473" s="78"/>
      <c r="S473" s="78">
        <f>SUM(Q473:R473)</f>
        <v>1012</v>
      </c>
      <c r="T473" s="78"/>
      <c r="U473" s="78">
        <f>SUM(S473:T473)</f>
        <v>1012</v>
      </c>
      <c r="V473" s="78"/>
      <c r="W473" s="78">
        <f>SUM(U473:V473)</f>
        <v>1012</v>
      </c>
      <c r="X473" s="78"/>
      <c r="Y473" s="78">
        <f>SUM(W473:X473)</f>
        <v>1012</v>
      </c>
      <c r="Z473" s="78"/>
      <c r="AA473" s="78">
        <f>SUM(Y473:Z473)</f>
        <v>1012</v>
      </c>
      <c r="AB473" s="78"/>
      <c r="AC473" s="78">
        <f>SUM(AA473:AB473)</f>
        <v>1012</v>
      </c>
      <c r="AD473" s="78"/>
      <c r="AE473" s="78">
        <f>SUM(AC473:AD473)</f>
        <v>1012</v>
      </c>
      <c r="AF473" s="78"/>
      <c r="AG473" s="78">
        <f>SUM(AE473:AF473)</f>
        <v>1012</v>
      </c>
      <c r="AH473" s="78"/>
      <c r="AI473" s="78">
        <f>SUM(AG473:AH473)</f>
        <v>1012</v>
      </c>
      <c r="AJ473" s="78">
        <v>-267</v>
      </c>
      <c r="AK473" s="78">
        <f>SUM(AI473:AJ473)</f>
        <v>745</v>
      </c>
      <c r="AL473" s="78"/>
      <c r="AM473" s="78">
        <f>SUM(AK473:AL473)</f>
        <v>745</v>
      </c>
    </row>
    <row r="474" spans="1:39" s="23" customFormat="1" ht="22.5">
      <c r="A474" s="83"/>
      <c r="B474" s="84"/>
      <c r="C474" s="83">
        <v>4700</v>
      </c>
      <c r="D474" s="37" t="s">
        <v>234</v>
      </c>
      <c r="E474" s="78"/>
      <c r="F474" s="78"/>
      <c r="G474" s="78"/>
      <c r="H474" s="78"/>
      <c r="I474" s="78"/>
      <c r="J474" s="78"/>
      <c r="K474" s="78">
        <v>0</v>
      </c>
      <c r="L474" s="78">
        <v>1650</v>
      </c>
      <c r="M474" s="78">
        <f>SUM(K474:L474)</f>
        <v>1650</v>
      </c>
      <c r="N474" s="78">
        <v>812</v>
      </c>
      <c r="O474" s="78">
        <f>SUM(M474:N474)</f>
        <v>2462</v>
      </c>
      <c r="P474" s="78"/>
      <c r="Q474" s="78">
        <f>SUM(O474:P474)</f>
        <v>2462</v>
      </c>
      <c r="R474" s="78"/>
      <c r="S474" s="78">
        <f>SUM(Q474:R474)</f>
        <v>2462</v>
      </c>
      <c r="T474" s="78"/>
      <c r="U474" s="78">
        <f>SUM(S474:T474)</f>
        <v>2462</v>
      </c>
      <c r="V474" s="78"/>
      <c r="W474" s="78">
        <f>SUM(U474:V474)</f>
        <v>2462</v>
      </c>
      <c r="X474" s="78"/>
      <c r="Y474" s="78">
        <f>SUM(W474:X474)</f>
        <v>2462</v>
      </c>
      <c r="Z474" s="78"/>
      <c r="AA474" s="78">
        <f>SUM(Y474:Z474)</f>
        <v>2462</v>
      </c>
      <c r="AB474" s="78"/>
      <c r="AC474" s="78">
        <f>SUM(AA474:AB474)</f>
        <v>2462</v>
      </c>
      <c r="AD474" s="78"/>
      <c r="AE474" s="78">
        <f>SUM(AC474:AD474)</f>
        <v>2462</v>
      </c>
      <c r="AF474" s="78"/>
      <c r="AG474" s="78">
        <f>SUM(AE474:AF474)</f>
        <v>2462</v>
      </c>
      <c r="AH474" s="78"/>
      <c r="AI474" s="78">
        <f>SUM(AG474:AH474)</f>
        <v>2462</v>
      </c>
      <c r="AJ474" s="78">
        <v>-741</v>
      </c>
      <c r="AK474" s="78">
        <f>SUM(AI474:AJ474)</f>
        <v>1721</v>
      </c>
      <c r="AL474" s="78"/>
      <c r="AM474" s="78">
        <f>SUM(AK474:AL474)</f>
        <v>1721</v>
      </c>
    </row>
    <row r="475" spans="1:39" s="23" customFormat="1" ht="21" customHeight="1">
      <c r="A475" s="83"/>
      <c r="B475" s="84">
        <v>85495</v>
      </c>
      <c r="C475" s="83"/>
      <c r="D475" s="37" t="s">
        <v>6</v>
      </c>
      <c r="E475" s="78">
        <f aca="true" t="shared" si="504" ref="E475:AM475">SUM(E476:E476)</f>
        <v>236245</v>
      </c>
      <c r="F475" s="78">
        <f t="shared" si="504"/>
        <v>0</v>
      </c>
      <c r="G475" s="78">
        <f t="shared" si="504"/>
        <v>236245</v>
      </c>
      <c r="H475" s="78">
        <f t="shared" si="504"/>
        <v>0</v>
      </c>
      <c r="I475" s="78">
        <f t="shared" si="504"/>
        <v>236245</v>
      </c>
      <c r="J475" s="78">
        <f t="shared" si="504"/>
        <v>0</v>
      </c>
      <c r="K475" s="78">
        <f t="shared" si="504"/>
        <v>236245</v>
      </c>
      <c r="L475" s="78">
        <f t="shared" si="504"/>
        <v>0</v>
      </c>
      <c r="M475" s="78">
        <f t="shared" si="504"/>
        <v>236245</v>
      </c>
      <c r="N475" s="78">
        <f t="shared" si="504"/>
        <v>0</v>
      </c>
      <c r="O475" s="78">
        <f t="shared" si="504"/>
        <v>236245</v>
      </c>
      <c r="P475" s="78">
        <f t="shared" si="504"/>
        <v>0</v>
      </c>
      <c r="Q475" s="78">
        <f t="shared" si="504"/>
        <v>236245</v>
      </c>
      <c r="R475" s="78">
        <f t="shared" si="504"/>
        <v>0</v>
      </c>
      <c r="S475" s="78">
        <f t="shared" si="504"/>
        <v>236245</v>
      </c>
      <c r="T475" s="78">
        <f t="shared" si="504"/>
        <v>0</v>
      </c>
      <c r="U475" s="78">
        <f t="shared" si="504"/>
        <v>236245</v>
      </c>
      <c r="V475" s="78">
        <f t="shared" si="504"/>
        <v>0</v>
      </c>
      <c r="W475" s="78">
        <f t="shared" si="504"/>
        <v>236245</v>
      </c>
      <c r="X475" s="78">
        <f t="shared" si="504"/>
        <v>0</v>
      </c>
      <c r="Y475" s="78">
        <f t="shared" si="504"/>
        <v>236245</v>
      </c>
      <c r="Z475" s="78">
        <f t="shared" si="504"/>
        <v>0</v>
      </c>
      <c r="AA475" s="78">
        <f t="shared" si="504"/>
        <v>236245</v>
      </c>
      <c r="AB475" s="78">
        <f t="shared" si="504"/>
        <v>0</v>
      </c>
      <c r="AC475" s="78">
        <f t="shared" si="504"/>
        <v>236245</v>
      </c>
      <c r="AD475" s="78">
        <f t="shared" si="504"/>
        <v>0</v>
      </c>
      <c r="AE475" s="78">
        <f t="shared" si="504"/>
        <v>236245</v>
      </c>
      <c r="AF475" s="78">
        <f t="shared" si="504"/>
        <v>0</v>
      </c>
      <c r="AG475" s="78">
        <f t="shared" si="504"/>
        <v>236245</v>
      </c>
      <c r="AH475" s="78">
        <f t="shared" si="504"/>
        <v>0</v>
      </c>
      <c r="AI475" s="78">
        <f t="shared" si="504"/>
        <v>236245</v>
      </c>
      <c r="AJ475" s="78">
        <f t="shared" si="504"/>
        <v>34140</v>
      </c>
      <c r="AK475" s="78">
        <f t="shared" si="504"/>
        <v>270385</v>
      </c>
      <c r="AL475" s="78">
        <f t="shared" si="504"/>
        <v>0</v>
      </c>
      <c r="AM475" s="78">
        <f t="shared" si="504"/>
        <v>270385</v>
      </c>
    </row>
    <row r="476" spans="1:39" s="23" customFormat="1" ht="45">
      <c r="A476" s="83"/>
      <c r="B476" s="84"/>
      <c r="C476" s="83">
        <v>2320</v>
      </c>
      <c r="D476" s="37" t="s">
        <v>148</v>
      </c>
      <c r="E476" s="78">
        <f>199150+37095</f>
        <v>236245</v>
      </c>
      <c r="F476" s="78"/>
      <c r="G476" s="78">
        <f>SUM(E476:F476)</f>
        <v>236245</v>
      </c>
      <c r="H476" s="78"/>
      <c r="I476" s="78">
        <f>SUM(G476:H476)</f>
        <v>236245</v>
      </c>
      <c r="J476" s="78"/>
      <c r="K476" s="78">
        <f>SUM(I476:J476)</f>
        <v>236245</v>
      </c>
      <c r="L476" s="78"/>
      <c r="M476" s="78">
        <f>SUM(K476:L476)</f>
        <v>236245</v>
      </c>
      <c r="N476" s="78"/>
      <c r="O476" s="78">
        <f>SUM(M476:N476)</f>
        <v>236245</v>
      </c>
      <c r="P476" s="78"/>
      <c r="Q476" s="78">
        <f>SUM(O476:P476)</f>
        <v>236245</v>
      </c>
      <c r="R476" s="78"/>
      <c r="S476" s="78">
        <f>SUM(Q476:R476)</f>
        <v>236245</v>
      </c>
      <c r="T476" s="78"/>
      <c r="U476" s="78">
        <f>SUM(S476:T476)</f>
        <v>236245</v>
      </c>
      <c r="V476" s="78"/>
      <c r="W476" s="78">
        <f>SUM(U476:V476)</f>
        <v>236245</v>
      </c>
      <c r="X476" s="78"/>
      <c r="Y476" s="78">
        <f>SUM(W476:X476)</f>
        <v>236245</v>
      </c>
      <c r="Z476" s="78"/>
      <c r="AA476" s="78">
        <f>SUM(Y476:Z476)</f>
        <v>236245</v>
      </c>
      <c r="AB476" s="78"/>
      <c r="AC476" s="78">
        <f>SUM(AA476:AB476)</f>
        <v>236245</v>
      </c>
      <c r="AD476" s="78"/>
      <c r="AE476" s="78">
        <f>SUM(AC476:AD476)</f>
        <v>236245</v>
      </c>
      <c r="AF476" s="78"/>
      <c r="AG476" s="78">
        <f>SUM(AE476:AF476)</f>
        <v>236245</v>
      </c>
      <c r="AH476" s="78"/>
      <c r="AI476" s="78">
        <f>SUM(AG476:AH476)</f>
        <v>236245</v>
      </c>
      <c r="AJ476" s="78">
        <v>34140</v>
      </c>
      <c r="AK476" s="78">
        <f>SUM(AI476:AJ476)</f>
        <v>270385</v>
      </c>
      <c r="AL476" s="78"/>
      <c r="AM476" s="78">
        <f>SUM(AK476:AL476)</f>
        <v>270385</v>
      </c>
    </row>
    <row r="477" spans="1:39" s="6" customFormat="1" ht="24">
      <c r="A477" s="32" t="s">
        <v>126</v>
      </c>
      <c r="B477" s="33"/>
      <c r="C477" s="34"/>
      <c r="D477" s="35" t="s">
        <v>60</v>
      </c>
      <c r="E477" s="36">
        <f aca="true" t="shared" si="505" ref="E477:J477">SUM(E478,E483,E485,E492,E494,E503,)</f>
        <v>2762212</v>
      </c>
      <c r="F477" s="36">
        <f t="shared" si="505"/>
        <v>535000</v>
      </c>
      <c r="G477" s="36">
        <f t="shared" si="505"/>
        <v>3297212</v>
      </c>
      <c r="H477" s="36">
        <f t="shared" si="505"/>
        <v>0</v>
      </c>
      <c r="I477" s="36">
        <f t="shared" si="505"/>
        <v>3297212</v>
      </c>
      <c r="J477" s="36">
        <f t="shared" si="505"/>
        <v>0</v>
      </c>
      <c r="K477" s="36">
        <f aca="true" t="shared" si="506" ref="K477:AE477">SUM(K478,K483,K485,K492,K494,K503,K499,K490)</f>
        <v>3297212</v>
      </c>
      <c r="L477" s="36">
        <f t="shared" si="506"/>
        <v>-18933</v>
      </c>
      <c r="M477" s="36">
        <f t="shared" si="506"/>
        <v>3278279</v>
      </c>
      <c r="N477" s="36">
        <f t="shared" si="506"/>
        <v>0</v>
      </c>
      <c r="O477" s="36">
        <f t="shared" si="506"/>
        <v>3278279</v>
      </c>
      <c r="P477" s="36">
        <f t="shared" si="506"/>
        <v>0</v>
      </c>
      <c r="Q477" s="36">
        <f t="shared" si="506"/>
        <v>3278279</v>
      </c>
      <c r="R477" s="36">
        <f t="shared" si="506"/>
        <v>0</v>
      </c>
      <c r="S477" s="36">
        <f t="shared" si="506"/>
        <v>3278279</v>
      </c>
      <c r="T477" s="36">
        <f t="shared" si="506"/>
        <v>0</v>
      </c>
      <c r="U477" s="36">
        <f t="shared" si="506"/>
        <v>3278279</v>
      </c>
      <c r="V477" s="36">
        <f t="shared" si="506"/>
        <v>-39600</v>
      </c>
      <c r="W477" s="36">
        <f t="shared" si="506"/>
        <v>3238679</v>
      </c>
      <c r="X477" s="36">
        <f t="shared" si="506"/>
        <v>0</v>
      </c>
      <c r="Y477" s="36">
        <f t="shared" si="506"/>
        <v>3238679</v>
      </c>
      <c r="Z477" s="36">
        <f t="shared" si="506"/>
        <v>0</v>
      </c>
      <c r="AA477" s="36">
        <f t="shared" si="506"/>
        <v>3238679</v>
      </c>
      <c r="AB477" s="36">
        <f t="shared" si="506"/>
        <v>0</v>
      </c>
      <c r="AC477" s="36">
        <f t="shared" si="506"/>
        <v>3238679</v>
      </c>
      <c r="AD477" s="36">
        <f t="shared" si="506"/>
        <v>150370</v>
      </c>
      <c r="AE477" s="36">
        <f t="shared" si="506"/>
        <v>3389049</v>
      </c>
      <c r="AF477" s="36">
        <f aca="true" t="shared" si="507" ref="AF477:AK477">SUM(AF478,AF483,AF485,AF492,AF494,AF503,AF499,AF490)</f>
        <v>0</v>
      </c>
      <c r="AG477" s="36">
        <f t="shared" si="507"/>
        <v>3389049</v>
      </c>
      <c r="AH477" s="36">
        <f t="shared" si="507"/>
        <v>76000</v>
      </c>
      <c r="AI477" s="36">
        <f t="shared" si="507"/>
        <v>3465049</v>
      </c>
      <c r="AJ477" s="36">
        <f t="shared" si="507"/>
        <v>-1326</v>
      </c>
      <c r="AK477" s="36">
        <f t="shared" si="507"/>
        <v>3463723</v>
      </c>
      <c r="AL477" s="36">
        <f>SUM(AL478,AL483,AL485,AL492,AL494,AL503,AL499,AL490)</f>
        <v>0</v>
      </c>
      <c r="AM477" s="36">
        <f>SUM(AM478,AM483,AM485,AM492,AM494,AM503,AM499,AM490)</f>
        <v>3463723</v>
      </c>
    </row>
    <row r="478" spans="1:39" s="23" customFormat="1" ht="21" customHeight="1">
      <c r="A478" s="64"/>
      <c r="B478" s="79" t="s">
        <v>127</v>
      </c>
      <c r="C478" s="83"/>
      <c r="D478" s="37" t="s">
        <v>61</v>
      </c>
      <c r="E478" s="78">
        <f aca="true" t="shared" si="508" ref="E478:Q478">SUM(E480:E482)</f>
        <v>300000</v>
      </c>
      <c r="F478" s="78">
        <f t="shared" si="508"/>
        <v>720000</v>
      </c>
      <c r="G478" s="78">
        <f t="shared" si="508"/>
        <v>1020000</v>
      </c>
      <c r="H478" s="78">
        <f t="shared" si="508"/>
        <v>0</v>
      </c>
      <c r="I478" s="78">
        <f t="shared" si="508"/>
        <v>1020000</v>
      </c>
      <c r="J478" s="78">
        <f t="shared" si="508"/>
        <v>0</v>
      </c>
      <c r="K478" s="78">
        <f t="shared" si="508"/>
        <v>1020000</v>
      </c>
      <c r="L478" s="78">
        <f t="shared" si="508"/>
        <v>-405000</v>
      </c>
      <c r="M478" s="78">
        <f t="shared" si="508"/>
        <v>615000</v>
      </c>
      <c r="N478" s="78">
        <f t="shared" si="508"/>
        <v>0</v>
      </c>
      <c r="O478" s="78">
        <f t="shared" si="508"/>
        <v>615000</v>
      </c>
      <c r="P478" s="78">
        <f t="shared" si="508"/>
        <v>0</v>
      </c>
      <c r="Q478" s="78">
        <f t="shared" si="508"/>
        <v>615000</v>
      </c>
      <c r="R478" s="78">
        <f>SUM(R480:R482)</f>
        <v>0</v>
      </c>
      <c r="S478" s="78">
        <f>SUM(S480:S482)</f>
        <v>615000</v>
      </c>
      <c r="T478" s="78">
        <f>SUM(T480:T482)</f>
        <v>0</v>
      </c>
      <c r="U478" s="78">
        <f aca="true" t="shared" si="509" ref="U478:AA478">SUM(U479:U482)</f>
        <v>615000</v>
      </c>
      <c r="V478" s="78">
        <f t="shared" si="509"/>
        <v>-77100</v>
      </c>
      <c r="W478" s="78">
        <f t="shared" si="509"/>
        <v>537900</v>
      </c>
      <c r="X478" s="78">
        <f t="shared" si="509"/>
        <v>0</v>
      </c>
      <c r="Y478" s="78">
        <f t="shared" si="509"/>
        <v>537900</v>
      </c>
      <c r="Z478" s="78">
        <f t="shared" si="509"/>
        <v>0</v>
      </c>
      <c r="AA478" s="78">
        <f t="shared" si="509"/>
        <v>537900</v>
      </c>
      <c r="AB478" s="78">
        <f aca="true" t="shared" si="510" ref="AB478:AG478">SUM(AB479:AB482)</f>
        <v>0</v>
      </c>
      <c r="AC478" s="78">
        <f t="shared" si="510"/>
        <v>537900</v>
      </c>
      <c r="AD478" s="78">
        <f t="shared" si="510"/>
        <v>-23900</v>
      </c>
      <c r="AE478" s="78">
        <f t="shared" si="510"/>
        <v>514000</v>
      </c>
      <c r="AF478" s="78">
        <f t="shared" si="510"/>
        <v>0</v>
      </c>
      <c r="AG478" s="78">
        <f t="shared" si="510"/>
        <v>514000</v>
      </c>
      <c r="AH478" s="78">
        <f aca="true" t="shared" si="511" ref="AH478:AM478">SUM(AH479:AH482)</f>
        <v>0</v>
      </c>
      <c r="AI478" s="78">
        <f t="shared" si="511"/>
        <v>514000</v>
      </c>
      <c r="AJ478" s="78">
        <f t="shared" si="511"/>
        <v>0</v>
      </c>
      <c r="AK478" s="78">
        <f t="shared" si="511"/>
        <v>514000</v>
      </c>
      <c r="AL478" s="78">
        <f t="shared" si="511"/>
        <v>0</v>
      </c>
      <c r="AM478" s="78">
        <f t="shared" si="511"/>
        <v>514000</v>
      </c>
    </row>
    <row r="479" spans="1:39" s="23" customFormat="1" ht="21" customHeight="1">
      <c r="A479" s="64"/>
      <c r="B479" s="79"/>
      <c r="C479" s="83">
        <v>4270</v>
      </c>
      <c r="D479" s="37" t="s">
        <v>77</v>
      </c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>
        <v>0</v>
      </c>
      <c r="V479" s="78">
        <v>122000</v>
      </c>
      <c r="W479" s="78">
        <f>SUM(U479:V479)</f>
        <v>122000</v>
      </c>
      <c r="X479" s="78"/>
      <c r="Y479" s="78">
        <f>SUM(W479:X479)</f>
        <v>122000</v>
      </c>
      <c r="Z479" s="78"/>
      <c r="AA479" s="78">
        <f>SUM(Y479:Z479)</f>
        <v>122000</v>
      </c>
      <c r="AB479" s="78"/>
      <c r="AC479" s="78">
        <f>SUM(AA479:AB479)</f>
        <v>122000</v>
      </c>
      <c r="AD479" s="78"/>
      <c r="AE479" s="78">
        <f>SUM(AC479:AD479)</f>
        <v>122000</v>
      </c>
      <c r="AF479" s="78"/>
      <c r="AG479" s="78">
        <f>SUM(AE479:AF479)</f>
        <v>122000</v>
      </c>
      <c r="AH479" s="78"/>
      <c r="AI479" s="78">
        <f>SUM(AG479:AH479)</f>
        <v>122000</v>
      </c>
      <c r="AJ479" s="78"/>
      <c r="AK479" s="78">
        <f>SUM(AI479:AJ479)</f>
        <v>122000</v>
      </c>
      <c r="AL479" s="78"/>
      <c r="AM479" s="78">
        <f>SUM(AK479:AL479)</f>
        <v>122000</v>
      </c>
    </row>
    <row r="480" spans="1:39" s="23" customFormat="1" ht="21" customHeight="1">
      <c r="A480" s="64"/>
      <c r="B480" s="79"/>
      <c r="C480" s="64">
        <v>4300</v>
      </c>
      <c r="D480" s="37" t="s">
        <v>78</v>
      </c>
      <c r="E480" s="78">
        <v>160000</v>
      </c>
      <c r="F480" s="78"/>
      <c r="G480" s="78">
        <f>SUM(E480:F480)</f>
        <v>160000</v>
      </c>
      <c r="H480" s="78"/>
      <c r="I480" s="78">
        <f>SUM(G480:H480)</f>
        <v>160000</v>
      </c>
      <c r="J480" s="78"/>
      <c r="K480" s="78">
        <f>SUM(I480:J480)</f>
        <v>160000</v>
      </c>
      <c r="L480" s="78"/>
      <c r="M480" s="78">
        <f>SUM(K480:L480)</f>
        <v>160000</v>
      </c>
      <c r="N480" s="78"/>
      <c r="O480" s="78">
        <f>SUM(M480:N480)</f>
        <v>160000</v>
      </c>
      <c r="P480" s="78"/>
      <c r="Q480" s="78">
        <f>SUM(O480:P480)</f>
        <v>160000</v>
      </c>
      <c r="R480" s="78"/>
      <c r="S480" s="78">
        <f>SUM(Q480:R480)</f>
        <v>160000</v>
      </c>
      <c r="T480" s="78"/>
      <c r="U480" s="78">
        <f>SUM(S480:T480)</f>
        <v>160000</v>
      </c>
      <c r="V480" s="78"/>
      <c r="W480" s="78">
        <f>SUM(U480:V480)</f>
        <v>160000</v>
      </c>
      <c r="X480" s="78"/>
      <c r="Y480" s="78">
        <f>SUM(W480:X480)</f>
        <v>160000</v>
      </c>
      <c r="Z480" s="78"/>
      <c r="AA480" s="78">
        <f>SUM(Y480:Z480)</f>
        <v>160000</v>
      </c>
      <c r="AB480" s="78"/>
      <c r="AC480" s="78">
        <f>SUM(AA480:AB480)</f>
        <v>160000</v>
      </c>
      <c r="AD480" s="78"/>
      <c r="AE480" s="78">
        <f>SUM(AC480:AD480)</f>
        <v>160000</v>
      </c>
      <c r="AF480" s="78"/>
      <c r="AG480" s="78">
        <f>SUM(AE480:AF480)</f>
        <v>160000</v>
      </c>
      <c r="AH480" s="78"/>
      <c r="AI480" s="78">
        <f>SUM(AG480:AH480)</f>
        <v>160000</v>
      </c>
      <c r="AJ480" s="78"/>
      <c r="AK480" s="78">
        <f>SUM(AI480:AJ480)</f>
        <v>160000</v>
      </c>
      <c r="AL480" s="78"/>
      <c r="AM480" s="78">
        <f>SUM(AK480:AL480)</f>
        <v>160000</v>
      </c>
    </row>
    <row r="481" spans="1:39" s="23" customFormat="1" ht="56.25">
      <c r="A481" s="64"/>
      <c r="B481" s="79"/>
      <c r="C481" s="64">
        <v>6010</v>
      </c>
      <c r="D481" s="12" t="s">
        <v>246</v>
      </c>
      <c r="E481" s="78">
        <v>140000</v>
      </c>
      <c r="F481" s="78"/>
      <c r="G481" s="78">
        <f>SUM(E481:F481)</f>
        <v>140000</v>
      </c>
      <c r="H481" s="78"/>
      <c r="I481" s="78">
        <f>SUM(G481:H481)</f>
        <v>140000</v>
      </c>
      <c r="J481" s="78"/>
      <c r="K481" s="78">
        <f>SUM(I481:J481)</f>
        <v>140000</v>
      </c>
      <c r="L481" s="78"/>
      <c r="M481" s="78">
        <f>SUM(K481:L481)</f>
        <v>140000</v>
      </c>
      <c r="N481" s="78"/>
      <c r="O481" s="78">
        <f>SUM(M481:N481)</f>
        <v>140000</v>
      </c>
      <c r="P481" s="78"/>
      <c r="Q481" s="78">
        <f>SUM(O481:P481)</f>
        <v>140000</v>
      </c>
      <c r="R481" s="78"/>
      <c r="S481" s="78">
        <f>SUM(Q481:R481)</f>
        <v>140000</v>
      </c>
      <c r="T481" s="78"/>
      <c r="U481" s="78">
        <f>SUM(S481:T481)</f>
        <v>140000</v>
      </c>
      <c r="V481" s="78">
        <v>-140000</v>
      </c>
      <c r="W481" s="78">
        <f>SUM(U481:V481)</f>
        <v>0</v>
      </c>
      <c r="X481" s="78"/>
      <c r="Y481" s="78">
        <f>SUM(W481:X481)</f>
        <v>0</v>
      </c>
      <c r="Z481" s="78"/>
      <c r="AA481" s="78">
        <f>SUM(Y481:Z481)</f>
        <v>0</v>
      </c>
      <c r="AB481" s="78"/>
      <c r="AC481" s="78">
        <f>SUM(AA481:AB481)</f>
        <v>0</v>
      </c>
      <c r="AD481" s="78"/>
      <c r="AE481" s="78">
        <f>SUM(AC481:AD481)</f>
        <v>0</v>
      </c>
      <c r="AF481" s="78"/>
      <c r="AG481" s="78">
        <f>SUM(AE481:AF481)</f>
        <v>0</v>
      </c>
      <c r="AH481" s="78"/>
      <c r="AI481" s="78">
        <f>SUM(AG481:AH481)</f>
        <v>0</v>
      </c>
      <c r="AJ481" s="78"/>
      <c r="AK481" s="78">
        <f>SUM(AI481:AJ481)</f>
        <v>0</v>
      </c>
      <c r="AL481" s="78"/>
      <c r="AM481" s="78">
        <f>SUM(AK481:AL481)</f>
        <v>0</v>
      </c>
    </row>
    <row r="482" spans="1:39" s="23" customFormat="1" ht="21.75" customHeight="1">
      <c r="A482" s="64"/>
      <c r="B482" s="79"/>
      <c r="C482" s="64">
        <v>6050</v>
      </c>
      <c r="D482" s="37" t="s">
        <v>72</v>
      </c>
      <c r="E482" s="78">
        <v>0</v>
      </c>
      <c r="F482" s="78">
        <f>400000+65000+5000+250000</f>
        <v>720000</v>
      </c>
      <c r="G482" s="78">
        <f>SUM(E482:F482)</f>
        <v>720000</v>
      </c>
      <c r="H482" s="78"/>
      <c r="I482" s="78">
        <f>SUM(G482:H482)</f>
        <v>720000</v>
      </c>
      <c r="J482" s="78"/>
      <c r="K482" s="78">
        <f>SUM(I482:J482)</f>
        <v>720000</v>
      </c>
      <c r="L482" s="78">
        <f>-88000-317000</f>
        <v>-405000</v>
      </c>
      <c r="M482" s="78">
        <f>SUM(K482:L482)</f>
        <v>315000</v>
      </c>
      <c r="N482" s="78"/>
      <c r="O482" s="78">
        <f>SUM(M482:N482)</f>
        <v>315000</v>
      </c>
      <c r="P482" s="78"/>
      <c r="Q482" s="78">
        <f>SUM(O482:P482)</f>
        <v>315000</v>
      </c>
      <c r="R482" s="78"/>
      <c r="S482" s="78">
        <f>SUM(Q482:R482)</f>
        <v>315000</v>
      </c>
      <c r="T482" s="78"/>
      <c r="U482" s="78">
        <f>SUM(S482:T482)</f>
        <v>315000</v>
      </c>
      <c r="V482" s="78">
        <v>-59100</v>
      </c>
      <c r="W482" s="78">
        <f>SUM(U482:V482)</f>
        <v>255900</v>
      </c>
      <c r="X482" s="78"/>
      <c r="Y482" s="78">
        <f>SUM(W482:X482)</f>
        <v>255900</v>
      </c>
      <c r="Z482" s="78"/>
      <c r="AA482" s="78">
        <f>SUM(Y482:Z482)</f>
        <v>255900</v>
      </c>
      <c r="AB482" s="78"/>
      <c r="AC482" s="78">
        <f>SUM(AA482:AB482)</f>
        <v>255900</v>
      </c>
      <c r="AD482" s="78">
        <v>-23900</v>
      </c>
      <c r="AE482" s="78">
        <f>SUM(AC482:AD482)</f>
        <v>232000</v>
      </c>
      <c r="AF482" s="78"/>
      <c r="AG482" s="78">
        <f>SUM(AE482:AF482)</f>
        <v>232000</v>
      </c>
      <c r="AH482" s="78"/>
      <c r="AI482" s="78">
        <f>SUM(AG482:AH482)</f>
        <v>232000</v>
      </c>
      <c r="AJ482" s="78"/>
      <c r="AK482" s="78">
        <f>SUM(AI482:AJ482)</f>
        <v>232000</v>
      </c>
      <c r="AL482" s="78"/>
      <c r="AM482" s="78">
        <f>SUM(AK482:AL482)</f>
        <v>232000</v>
      </c>
    </row>
    <row r="483" spans="1:39" s="23" customFormat="1" ht="21" customHeight="1">
      <c r="A483" s="64"/>
      <c r="B483" s="79" t="s">
        <v>128</v>
      </c>
      <c r="C483" s="83"/>
      <c r="D483" s="37" t="s">
        <v>129</v>
      </c>
      <c r="E483" s="78">
        <f aca="true" t="shared" si="512" ref="E483:AM483">SUM(E484:E484)</f>
        <v>787540</v>
      </c>
      <c r="F483" s="78">
        <f t="shared" si="512"/>
        <v>0</v>
      </c>
      <c r="G483" s="78">
        <f t="shared" si="512"/>
        <v>787540</v>
      </c>
      <c r="H483" s="78">
        <f t="shared" si="512"/>
        <v>0</v>
      </c>
      <c r="I483" s="78">
        <f t="shared" si="512"/>
        <v>787540</v>
      </c>
      <c r="J483" s="78">
        <f t="shared" si="512"/>
        <v>0</v>
      </c>
      <c r="K483" s="78">
        <f t="shared" si="512"/>
        <v>787540</v>
      </c>
      <c r="L483" s="78">
        <f t="shared" si="512"/>
        <v>59000</v>
      </c>
      <c r="M483" s="78">
        <f t="shared" si="512"/>
        <v>846540</v>
      </c>
      <c r="N483" s="78">
        <f t="shared" si="512"/>
        <v>0</v>
      </c>
      <c r="O483" s="78">
        <f t="shared" si="512"/>
        <v>846540</v>
      </c>
      <c r="P483" s="78">
        <f t="shared" si="512"/>
        <v>0</v>
      </c>
      <c r="Q483" s="78">
        <f t="shared" si="512"/>
        <v>846540</v>
      </c>
      <c r="R483" s="78">
        <f t="shared" si="512"/>
        <v>0</v>
      </c>
      <c r="S483" s="78">
        <f t="shared" si="512"/>
        <v>846540</v>
      </c>
      <c r="T483" s="78">
        <f t="shared" si="512"/>
        <v>0</v>
      </c>
      <c r="U483" s="78">
        <f t="shared" si="512"/>
        <v>846540</v>
      </c>
      <c r="V483" s="78">
        <f t="shared" si="512"/>
        <v>0</v>
      </c>
      <c r="W483" s="78">
        <f t="shared" si="512"/>
        <v>846540</v>
      </c>
      <c r="X483" s="78">
        <f t="shared" si="512"/>
        <v>0</v>
      </c>
      <c r="Y483" s="78">
        <f t="shared" si="512"/>
        <v>846540</v>
      </c>
      <c r="Z483" s="78">
        <f t="shared" si="512"/>
        <v>0</v>
      </c>
      <c r="AA483" s="78">
        <f t="shared" si="512"/>
        <v>846540</v>
      </c>
      <c r="AB483" s="78">
        <f t="shared" si="512"/>
        <v>0</v>
      </c>
      <c r="AC483" s="78">
        <f t="shared" si="512"/>
        <v>846540</v>
      </c>
      <c r="AD483" s="78">
        <f t="shared" si="512"/>
        <v>0</v>
      </c>
      <c r="AE483" s="78">
        <f t="shared" si="512"/>
        <v>846540</v>
      </c>
      <c r="AF483" s="78">
        <f t="shared" si="512"/>
        <v>0</v>
      </c>
      <c r="AG483" s="78">
        <f t="shared" si="512"/>
        <v>846540</v>
      </c>
      <c r="AH483" s="78">
        <f t="shared" si="512"/>
        <v>0</v>
      </c>
      <c r="AI483" s="78">
        <f t="shared" si="512"/>
        <v>846540</v>
      </c>
      <c r="AJ483" s="78">
        <f t="shared" si="512"/>
        <v>-180</v>
      </c>
      <c r="AK483" s="78">
        <f t="shared" si="512"/>
        <v>846360</v>
      </c>
      <c r="AL483" s="78">
        <f t="shared" si="512"/>
        <v>0</v>
      </c>
      <c r="AM483" s="78">
        <f t="shared" si="512"/>
        <v>846360</v>
      </c>
    </row>
    <row r="484" spans="1:39" s="23" customFormat="1" ht="21" customHeight="1">
      <c r="A484" s="64"/>
      <c r="B484" s="79"/>
      <c r="C484" s="83">
        <v>4300</v>
      </c>
      <c r="D484" s="86" t="s">
        <v>78</v>
      </c>
      <c r="E484" s="78">
        <f>785470+900+1170</f>
        <v>787540</v>
      </c>
      <c r="F484" s="78"/>
      <c r="G484" s="78">
        <f>SUM(E484:F484)</f>
        <v>787540</v>
      </c>
      <c r="H484" s="78"/>
      <c r="I484" s="78">
        <f>SUM(G484:H484)</f>
        <v>787540</v>
      </c>
      <c r="J484" s="78"/>
      <c r="K484" s="78">
        <f>SUM(I484:J484)</f>
        <v>787540</v>
      </c>
      <c r="L484" s="78">
        <v>59000</v>
      </c>
      <c r="M484" s="78">
        <f>SUM(K484:L484)</f>
        <v>846540</v>
      </c>
      <c r="N484" s="78"/>
      <c r="O484" s="78">
        <f>SUM(M484:N484)</f>
        <v>846540</v>
      </c>
      <c r="P484" s="78"/>
      <c r="Q484" s="78">
        <f>SUM(O484:P484)</f>
        <v>846540</v>
      </c>
      <c r="R484" s="78"/>
      <c r="S484" s="78">
        <f>SUM(Q484:R484)</f>
        <v>846540</v>
      </c>
      <c r="T484" s="78"/>
      <c r="U484" s="78">
        <f>SUM(S484:T484)</f>
        <v>846540</v>
      </c>
      <c r="V484" s="78"/>
      <c r="W484" s="78">
        <f>SUM(U484:V484)</f>
        <v>846540</v>
      </c>
      <c r="X484" s="78"/>
      <c r="Y484" s="78">
        <f>SUM(W484:X484)</f>
        <v>846540</v>
      </c>
      <c r="Z484" s="78"/>
      <c r="AA484" s="78">
        <f>SUM(Y484:Z484)</f>
        <v>846540</v>
      </c>
      <c r="AB484" s="78"/>
      <c r="AC484" s="78">
        <f>SUM(AA484:AB484)</f>
        <v>846540</v>
      </c>
      <c r="AD484" s="78"/>
      <c r="AE484" s="78">
        <f>SUM(AC484:AD484)</f>
        <v>846540</v>
      </c>
      <c r="AF484" s="78"/>
      <c r="AG484" s="78">
        <f>SUM(AE484:AF484)</f>
        <v>846540</v>
      </c>
      <c r="AH484" s="78"/>
      <c r="AI484" s="78">
        <f>SUM(AG484:AH484)</f>
        <v>846540</v>
      </c>
      <c r="AJ484" s="78">
        <v>-180</v>
      </c>
      <c r="AK484" s="78">
        <f>SUM(AI484:AJ484)</f>
        <v>846360</v>
      </c>
      <c r="AL484" s="78"/>
      <c r="AM484" s="78">
        <f>SUM(AK484:AL484)</f>
        <v>846360</v>
      </c>
    </row>
    <row r="485" spans="1:39" s="23" customFormat="1" ht="21" customHeight="1">
      <c r="A485" s="64"/>
      <c r="B485" s="79" t="s">
        <v>130</v>
      </c>
      <c r="C485" s="83"/>
      <c r="D485" s="37" t="s">
        <v>150</v>
      </c>
      <c r="E485" s="78">
        <f aca="true" t="shared" si="513" ref="E485:W485">SUM(E486:E489)</f>
        <v>284872</v>
      </c>
      <c r="F485" s="78">
        <f t="shared" si="513"/>
        <v>0</v>
      </c>
      <c r="G485" s="78">
        <f t="shared" si="513"/>
        <v>284872</v>
      </c>
      <c r="H485" s="78">
        <f t="shared" si="513"/>
        <v>0</v>
      </c>
      <c r="I485" s="78">
        <f t="shared" si="513"/>
        <v>284872</v>
      </c>
      <c r="J485" s="78">
        <f t="shared" si="513"/>
        <v>0</v>
      </c>
      <c r="K485" s="78">
        <f t="shared" si="513"/>
        <v>284872</v>
      </c>
      <c r="L485" s="78">
        <f t="shared" si="513"/>
        <v>-1100</v>
      </c>
      <c r="M485" s="78">
        <f t="shared" si="513"/>
        <v>283772</v>
      </c>
      <c r="N485" s="78">
        <f t="shared" si="513"/>
        <v>0</v>
      </c>
      <c r="O485" s="78">
        <f t="shared" si="513"/>
        <v>283772</v>
      </c>
      <c r="P485" s="78">
        <f t="shared" si="513"/>
        <v>0</v>
      </c>
      <c r="Q485" s="78">
        <f t="shared" si="513"/>
        <v>283772</v>
      </c>
      <c r="R485" s="78">
        <f t="shared" si="513"/>
        <v>0</v>
      </c>
      <c r="S485" s="78">
        <f t="shared" si="513"/>
        <v>283772</v>
      </c>
      <c r="T485" s="78">
        <f t="shared" si="513"/>
        <v>0</v>
      </c>
      <c r="U485" s="78">
        <f t="shared" si="513"/>
        <v>283772</v>
      </c>
      <c r="V485" s="78">
        <f t="shared" si="513"/>
        <v>1200</v>
      </c>
      <c r="W485" s="78">
        <f t="shared" si="513"/>
        <v>284972</v>
      </c>
      <c r="X485" s="78">
        <f aca="true" t="shared" si="514" ref="X485:AE485">SUM(X486:X489)</f>
        <v>0</v>
      </c>
      <c r="Y485" s="78">
        <f t="shared" si="514"/>
        <v>284972</v>
      </c>
      <c r="Z485" s="78">
        <f t="shared" si="514"/>
        <v>0</v>
      </c>
      <c r="AA485" s="78">
        <f t="shared" si="514"/>
        <v>284972</v>
      </c>
      <c r="AB485" s="78">
        <f t="shared" si="514"/>
        <v>0</v>
      </c>
      <c r="AC485" s="78">
        <f t="shared" si="514"/>
        <v>284972</v>
      </c>
      <c r="AD485" s="78">
        <f t="shared" si="514"/>
        <v>4270</v>
      </c>
      <c r="AE485" s="78">
        <f t="shared" si="514"/>
        <v>289242</v>
      </c>
      <c r="AF485" s="78">
        <f aca="true" t="shared" si="515" ref="AF485:AK485">SUM(AF486:AF489)</f>
        <v>0</v>
      </c>
      <c r="AG485" s="78">
        <f t="shared" si="515"/>
        <v>289242</v>
      </c>
      <c r="AH485" s="78">
        <f t="shared" si="515"/>
        <v>0</v>
      </c>
      <c r="AI485" s="78">
        <f t="shared" si="515"/>
        <v>289242</v>
      </c>
      <c r="AJ485" s="78">
        <f t="shared" si="515"/>
        <v>-1146</v>
      </c>
      <c r="AK485" s="78">
        <f t="shared" si="515"/>
        <v>288096</v>
      </c>
      <c r="AL485" s="78">
        <f>SUM(AL486:AL489)</f>
        <v>0</v>
      </c>
      <c r="AM485" s="78">
        <f>SUM(AM486:AM489)</f>
        <v>288096</v>
      </c>
    </row>
    <row r="486" spans="1:39" s="23" customFormat="1" ht="21" customHeight="1">
      <c r="A486" s="64"/>
      <c r="B486" s="79"/>
      <c r="C486" s="64">
        <v>4210</v>
      </c>
      <c r="D486" s="37" t="s">
        <v>91</v>
      </c>
      <c r="E486" s="78">
        <f>18000+6000+12000+15756+17714</f>
        <v>69470</v>
      </c>
      <c r="F486" s="78"/>
      <c r="G486" s="78">
        <f>SUM(E486:F486)</f>
        <v>69470</v>
      </c>
      <c r="H486" s="78"/>
      <c r="I486" s="78">
        <f>SUM(G486:H486)</f>
        <v>69470</v>
      </c>
      <c r="J486" s="78"/>
      <c r="K486" s="78">
        <f>SUM(I486:J486)</f>
        <v>69470</v>
      </c>
      <c r="L486" s="78">
        <v>-1100</v>
      </c>
      <c r="M486" s="78">
        <f>SUM(K486:L486)</f>
        <v>68370</v>
      </c>
      <c r="N486" s="78"/>
      <c r="O486" s="78">
        <f>SUM(M486:N486)</f>
        <v>68370</v>
      </c>
      <c r="P486" s="78"/>
      <c r="Q486" s="78">
        <f>SUM(O486:P486)</f>
        <v>68370</v>
      </c>
      <c r="R486" s="78"/>
      <c r="S486" s="78">
        <f>SUM(Q486:R486)</f>
        <v>68370</v>
      </c>
      <c r="T486" s="78">
        <v>-46</v>
      </c>
      <c r="U486" s="78">
        <f>SUM(S486:T486)</f>
        <v>68324</v>
      </c>
      <c r="V486" s="78"/>
      <c r="W486" s="78">
        <f>SUM(U486:V486)</f>
        <v>68324</v>
      </c>
      <c r="X486" s="78"/>
      <c r="Y486" s="78">
        <f>SUM(W486:X486)</f>
        <v>68324</v>
      </c>
      <c r="Z486" s="78"/>
      <c r="AA486" s="78">
        <f>SUM(Y486:Z486)</f>
        <v>68324</v>
      </c>
      <c r="AB486" s="78"/>
      <c r="AC486" s="78">
        <f>SUM(AA486:AB486)</f>
        <v>68324</v>
      </c>
      <c r="AD486" s="78">
        <v>270</v>
      </c>
      <c r="AE486" s="78">
        <f>SUM(AC486:AD486)</f>
        <v>68594</v>
      </c>
      <c r="AF486" s="78"/>
      <c r="AG486" s="78">
        <f>SUM(AE486:AF486)</f>
        <v>68594</v>
      </c>
      <c r="AH486" s="78"/>
      <c r="AI486" s="78">
        <f>SUM(AG486:AH486)</f>
        <v>68594</v>
      </c>
      <c r="AJ486" s="78">
        <v>-1124</v>
      </c>
      <c r="AK486" s="78">
        <f>SUM(AI486:AJ486)</f>
        <v>67470</v>
      </c>
      <c r="AL486" s="78"/>
      <c r="AM486" s="78">
        <f>SUM(AK486:AL486)</f>
        <v>67470</v>
      </c>
    </row>
    <row r="487" spans="1:39" s="23" customFormat="1" ht="21" customHeight="1">
      <c r="A487" s="64"/>
      <c r="B487" s="79"/>
      <c r="C487" s="64">
        <v>4260</v>
      </c>
      <c r="D487" s="37" t="s">
        <v>94</v>
      </c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>
        <v>0</v>
      </c>
      <c r="T487" s="78">
        <v>46</v>
      </c>
      <c r="U487" s="78">
        <f>SUM(S487:T487)</f>
        <v>46</v>
      </c>
      <c r="V487" s="78"/>
      <c r="W487" s="78">
        <f>SUM(U487:V487)</f>
        <v>46</v>
      </c>
      <c r="X487" s="78"/>
      <c r="Y487" s="78">
        <f>SUM(W487:X487)</f>
        <v>46</v>
      </c>
      <c r="Z487" s="78"/>
      <c r="AA487" s="78">
        <f>SUM(Y487:Z487)</f>
        <v>46</v>
      </c>
      <c r="AB487" s="78"/>
      <c r="AC487" s="78">
        <f>SUM(AA487:AB487)</f>
        <v>46</v>
      </c>
      <c r="AD487" s="78"/>
      <c r="AE487" s="78">
        <f>SUM(AC487:AD487)</f>
        <v>46</v>
      </c>
      <c r="AF487" s="78"/>
      <c r="AG487" s="78">
        <f>SUM(AE487:AF487)</f>
        <v>46</v>
      </c>
      <c r="AH487" s="78"/>
      <c r="AI487" s="78">
        <f>SUM(AG487:AH487)</f>
        <v>46</v>
      </c>
      <c r="AJ487" s="78">
        <v>150</v>
      </c>
      <c r="AK487" s="78">
        <f>SUM(AI487:AJ487)</f>
        <v>196</v>
      </c>
      <c r="AL487" s="78"/>
      <c r="AM487" s="78">
        <f>SUM(AK487:AL487)</f>
        <v>196</v>
      </c>
    </row>
    <row r="488" spans="1:39" s="23" customFormat="1" ht="21" customHeight="1">
      <c r="A488" s="64"/>
      <c r="B488" s="79"/>
      <c r="C488" s="64">
        <v>4270</v>
      </c>
      <c r="D488" s="37" t="s">
        <v>77</v>
      </c>
      <c r="E488" s="78">
        <v>5000</v>
      </c>
      <c r="F488" s="78"/>
      <c r="G488" s="78">
        <f>SUM(E488:F488)</f>
        <v>5000</v>
      </c>
      <c r="H488" s="78"/>
      <c r="I488" s="78">
        <f>SUM(G488:H488)</f>
        <v>5000</v>
      </c>
      <c r="J488" s="78"/>
      <c r="K488" s="78">
        <f>SUM(I488:J488)</f>
        <v>5000</v>
      </c>
      <c r="L488" s="78"/>
      <c r="M488" s="78">
        <f>SUM(K488:L488)</f>
        <v>5000</v>
      </c>
      <c r="N488" s="78"/>
      <c r="O488" s="78">
        <f>SUM(M488:N488)</f>
        <v>5000</v>
      </c>
      <c r="P488" s="78"/>
      <c r="Q488" s="78">
        <f>SUM(O488:P488)</f>
        <v>5000</v>
      </c>
      <c r="R488" s="78"/>
      <c r="S488" s="78">
        <f>SUM(Q488:R488)</f>
        <v>5000</v>
      </c>
      <c r="T488" s="78"/>
      <c r="U488" s="78">
        <f>SUM(S488:T488)</f>
        <v>5000</v>
      </c>
      <c r="V488" s="78"/>
      <c r="W488" s="78">
        <f>SUM(U488:V488)</f>
        <v>5000</v>
      </c>
      <c r="X488" s="78"/>
      <c r="Y488" s="78">
        <f>SUM(W488:X488)</f>
        <v>5000</v>
      </c>
      <c r="Z488" s="78"/>
      <c r="AA488" s="78">
        <f>SUM(Y488:Z488)</f>
        <v>5000</v>
      </c>
      <c r="AB488" s="78"/>
      <c r="AC488" s="78">
        <f>SUM(AA488:AB488)</f>
        <v>5000</v>
      </c>
      <c r="AD488" s="78">
        <v>4000</v>
      </c>
      <c r="AE488" s="78">
        <f>SUM(AC488:AD488)</f>
        <v>9000</v>
      </c>
      <c r="AF488" s="78"/>
      <c r="AG488" s="78">
        <f>SUM(AE488:AF488)</f>
        <v>9000</v>
      </c>
      <c r="AH488" s="78"/>
      <c r="AI488" s="78">
        <f>SUM(AG488:AH488)</f>
        <v>9000</v>
      </c>
      <c r="AJ488" s="78"/>
      <c r="AK488" s="78">
        <f>SUM(AI488:AJ488)</f>
        <v>9000</v>
      </c>
      <c r="AL488" s="78"/>
      <c r="AM488" s="78">
        <f>SUM(AK488:AL488)</f>
        <v>9000</v>
      </c>
    </row>
    <row r="489" spans="1:39" s="23" customFormat="1" ht="21" customHeight="1">
      <c r="A489" s="64"/>
      <c r="B489" s="79"/>
      <c r="C489" s="64">
        <v>4300</v>
      </c>
      <c r="D489" s="37" t="s">
        <v>78</v>
      </c>
      <c r="E489" s="78">
        <f>130802+32000+1000+20000+20000+6400+200</f>
        <v>210402</v>
      </c>
      <c r="F489" s="78"/>
      <c r="G489" s="78">
        <f>SUM(E489:F489)</f>
        <v>210402</v>
      </c>
      <c r="H489" s="78"/>
      <c r="I489" s="78">
        <f>SUM(G489:H489)</f>
        <v>210402</v>
      </c>
      <c r="J489" s="78"/>
      <c r="K489" s="78">
        <f>SUM(I489:J489)</f>
        <v>210402</v>
      </c>
      <c r="L489" s="78"/>
      <c r="M489" s="78">
        <f>SUM(K489:L489)</f>
        <v>210402</v>
      </c>
      <c r="N489" s="78"/>
      <c r="O489" s="78">
        <f>SUM(M489:N489)</f>
        <v>210402</v>
      </c>
      <c r="P489" s="78"/>
      <c r="Q489" s="78">
        <f>SUM(O489:P489)</f>
        <v>210402</v>
      </c>
      <c r="R489" s="78"/>
      <c r="S489" s="78">
        <f>SUM(Q489:R489)</f>
        <v>210402</v>
      </c>
      <c r="T489" s="78"/>
      <c r="U489" s="78">
        <f>SUM(S489:T489)</f>
        <v>210402</v>
      </c>
      <c r="V489" s="78">
        <v>1200</v>
      </c>
      <c r="W489" s="78">
        <f>SUM(U489:V489)</f>
        <v>211602</v>
      </c>
      <c r="X489" s="78"/>
      <c r="Y489" s="78">
        <f>SUM(W489:X489)</f>
        <v>211602</v>
      </c>
      <c r="Z489" s="78"/>
      <c r="AA489" s="78">
        <f>SUM(Y489:Z489)</f>
        <v>211602</v>
      </c>
      <c r="AB489" s="78"/>
      <c r="AC489" s="78">
        <f>SUM(AA489:AB489)</f>
        <v>211602</v>
      </c>
      <c r="AD489" s="78"/>
      <c r="AE489" s="78">
        <f>SUM(AC489:AD489)</f>
        <v>211602</v>
      </c>
      <c r="AF489" s="78"/>
      <c r="AG489" s="78">
        <f>SUM(AE489:AF489)</f>
        <v>211602</v>
      </c>
      <c r="AH489" s="78"/>
      <c r="AI489" s="78">
        <f>SUM(AG489:AH489)</f>
        <v>211602</v>
      </c>
      <c r="AJ489" s="78">
        <v>-172</v>
      </c>
      <c r="AK489" s="78">
        <f>SUM(AI489:AJ489)</f>
        <v>211430</v>
      </c>
      <c r="AL489" s="78"/>
      <c r="AM489" s="78">
        <f>SUM(AK489:AL489)</f>
        <v>211430</v>
      </c>
    </row>
    <row r="490" spans="1:39" s="23" customFormat="1" ht="21" customHeight="1">
      <c r="A490" s="64"/>
      <c r="B490" s="79">
        <v>90005</v>
      </c>
      <c r="C490" s="64"/>
      <c r="D490" s="37" t="s">
        <v>336</v>
      </c>
      <c r="E490" s="78"/>
      <c r="F490" s="78"/>
      <c r="G490" s="78"/>
      <c r="H490" s="78"/>
      <c r="I490" s="78"/>
      <c r="J490" s="78"/>
      <c r="K490" s="78">
        <f aca="true" t="shared" si="516" ref="K490:AM490">SUM(K491)</f>
        <v>0</v>
      </c>
      <c r="L490" s="78">
        <f t="shared" si="516"/>
        <v>3000</v>
      </c>
      <c r="M490" s="78">
        <f t="shared" si="516"/>
        <v>3000</v>
      </c>
      <c r="N490" s="78">
        <f t="shared" si="516"/>
        <v>0</v>
      </c>
      <c r="O490" s="78">
        <f t="shared" si="516"/>
        <v>3000</v>
      </c>
      <c r="P490" s="78">
        <f t="shared" si="516"/>
        <v>0</v>
      </c>
      <c r="Q490" s="78">
        <f t="shared" si="516"/>
        <v>3000</v>
      </c>
      <c r="R490" s="78">
        <f t="shared" si="516"/>
        <v>0</v>
      </c>
      <c r="S490" s="78">
        <f t="shared" si="516"/>
        <v>3000</v>
      </c>
      <c r="T490" s="78">
        <f t="shared" si="516"/>
        <v>0</v>
      </c>
      <c r="U490" s="78">
        <f t="shared" si="516"/>
        <v>3000</v>
      </c>
      <c r="V490" s="78">
        <f t="shared" si="516"/>
        <v>0</v>
      </c>
      <c r="W490" s="78">
        <f t="shared" si="516"/>
        <v>3000</v>
      </c>
      <c r="X490" s="78">
        <f t="shared" si="516"/>
        <v>0</v>
      </c>
      <c r="Y490" s="78">
        <f t="shared" si="516"/>
        <v>3000</v>
      </c>
      <c r="Z490" s="78">
        <f t="shared" si="516"/>
        <v>0</v>
      </c>
      <c r="AA490" s="78">
        <f t="shared" si="516"/>
        <v>3000</v>
      </c>
      <c r="AB490" s="78">
        <f t="shared" si="516"/>
        <v>0</v>
      </c>
      <c r="AC490" s="78">
        <f t="shared" si="516"/>
        <v>3000</v>
      </c>
      <c r="AD490" s="78">
        <f t="shared" si="516"/>
        <v>0</v>
      </c>
      <c r="AE490" s="78">
        <f t="shared" si="516"/>
        <v>3000</v>
      </c>
      <c r="AF490" s="78">
        <f t="shared" si="516"/>
        <v>0</v>
      </c>
      <c r="AG490" s="78">
        <f t="shared" si="516"/>
        <v>3000</v>
      </c>
      <c r="AH490" s="78">
        <f t="shared" si="516"/>
        <v>0</v>
      </c>
      <c r="AI490" s="78">
        <f t="shared" si="516"/>
        <v>3000</v>
      </c>
      <c r="AJ490" s="78">
        <f t="shared" si="516"/>
        <v>0</v>
      </c>
      <c r="AK490" s="78">
        <f t="shared" si="516"/>
        <v>3000</v>
      </c>
      <c r="AL490" s="78">
        <f t="shared" si="516"/>
        <v>0</v>
      </c>
      <c r="AM490" s="78">
        <f t="shared" si="516"/>
        <v>3000</v>
      </c>
    </row>
    <row r="491" spans="1:39" s="23" customFormat="1" ht="22.5">
      <c r="A491" s="64"/>
      <c r="B491" s="79"/>
      <c r="C491" s="64">
        <v>4520</v>
      </c>
      <c r="D491" s="37" t="s">
        <v>337</v>
      </c>
      <c r="E491" s="78"/>
      <c r="F491" s="78"/>
      <c r="G491" s="78"/>
      <c r="H491" s="78"/>
      <c r="I491" s="78"/>
      <c r="J491" s="78"/>
      <c r="K491" s="78">
        <v>0</v>
      </c>
      <c r="L491" s="78">
        <v>3000</v>
      </c>
      <c r="M491" s="78">
        <f>SUM(K491:L491)</f>
        <v>3000</v>
      </c>
      <c r="N491" s="78"/>
      <c r="O491" s="78">
        <f>SUM(M491:N491)</f>
        <v>3000</v>
      </c>
      <c r="P491" s="78"/>
      <c r="Q491" s="78">
        <f>SUM(O491:P491)</f>
        <v>3000</v>
      </c>
      <c r="R491" s="78"/>
      <c r="S491" s="78">
        <f>SUM(Q491:R491)</f>
        <v>3000</v>
      </c>
      <c r="T491" s="78"/>
      <c r="U491" s="78">
        <f>SUM(S491:T491)</f>
        <v>3000</v>
      </c>
      <c r="V491" s="78"/>
      <c r="W491" s="78">
        <f>SUM(U491:V491)</f>
        <v>3000</v>
      </c>
      <c r="X491" s="78"/>
      <c r="Y491" s="78">
        <f>SUM(W491:X491)</f>
        <v>3000</v>
      </c>
      <c r="Z491" s="78"/>
      <c r="AA491" s="78">
        <f>SUM(Y491:Z491)</f>
        <v>3000</v>
      </c>
      <c r="AB491" s="78"/>
      <c r="AC491" s="78">
        <f>SUM(AA491:AB491)</f>
        <v>3000</v>
      </c>
      <c r="AD491" s="78"/>
      <c r="AE491" s="78">
        <f>SUM(AC491:AD491)</f>
        <v>3000</v>
      </c>
      <c r="AF491" s="78"/>
      <c r="AG491" s="78">
        <f>SUM(AE491:AF491)</f>
        <v>3000</v>
      </c>
      <c r="AH491" s="78"/>
      <c r="AI491" s="78">
        <f>SUM(AG491:AH491)</f>
        <v>3000</v>
      </c>
      <c r="AJ491" s="78"/>
      <c r="AK491" s="78">
        <f>SUM(AI491:AJ491)</f>
        <v>3000</v>
      </c>
      <c r="AL491" s="78"/>
      <c r="AM491" s="78">
        <f>SUM(AK491:AL491)</f>
        <v>3000</v>
      </c>
    </row>
    <row r="492" spans="1:39" s="23" customFormat="1" ht="21" customHeight="1">
      <c r="A492" s="64"/>
      <c r="B492" s="79" t="s">
        <v>131</v>
      </c>
      <c r="C492" s="83"/>
      <c r="D492" s="37" t="s">
        <v>132</v>
      </c>
      <c r="E492" s="78">
        <f aca="true" t="shared" si="517" ref="E492:AM492">SUM(E493)</f>
        <v>134000</v>
      </c>
      <c r="F492" s="78">
        <f t="shared" si="517"/>
        <v>0</v>
      </c>
      <c r="G492" s="78">
        <f t="shared" si="517"/>
        <v>134000</v>
      </c>
      <c r="H492" s="78">
        <f t="shared" si="517"/>
        <v>0</v>
      </c>
      <c r="I492" s="78">
        <f t="shared" si="517"/>
        <v>134000</v>
      </c>
      <c r="J492" s="78">
        <f t="shared" si="517"/>
        <v>0</v>
      </c>
      <c r="K492" s="78">
        <f t="shared" si="517"/>
        <v>134000</v>
      </c>
      <c r="L492" s="78">
        <f t="shared" si="517"/>
        <v>0</v>
      </c>
      <c r="M492" s="78">
        <f t="shared" si="517"/>
        <v>134000</v>
      </c>
      <c r="N492" s="78">
        <f t="shared" si="517"/>
        <v>0</v>
      </c>
      <c r="O492" s="78">
        <f t="shared" si="517"/>
        <v>134000</v>
      </c>
      <c r="P492" s="78">
        <f t="shared" si="517"/>
        <v>0</v>
      </c>
      <c r="Q492" s="78">
        <f t="shared" si="517"/>
        <v>134000</v>
      </c>
      <c r="R492" s="78">
        <f t="shared" si="517"/>
        <v>0</v>
      </c>
      <c r="S492" s="78">
        <f t="shared" si="517"/>
        <v>134000</v>
      </c>
      <c r="T492" s="78">
        <f t="shared" si="517"/>
        <v>0</v>
      </c>
      <c r="U492" s="78">
        <f t="shared" si="517"/>
        <v>134000</v>
      </c>
      <c r="V492" s="78">
        <f t="shared" si="517"/>
        <v>36300</v>
      </c>
      <c r="W492" s="78">
        <f t="shared" si="517"/>
        <v>170300</v>
      </c>
      <c r="X492" s="78">
        <f t="shared" si="517"/>
        <v>0</v>
      </c>
      <c r="Y492" s="78">
        <f t="shared" si="517"/>
        <v>170300</v>
      </c>
      <c r="Z492" s="78">
        <f t="shared" si="517"/>
        <v>0</v>
      </c>
      <c r="AA492" s="78">
        <f t="shared" si="517"/>
        <v>170300</v>
      </c>
      <c r="AB492" s="78">
        <f t="shared" si="517"/>
        <v>0</v>
      </c>
      <c r="AC492" s="78">
        <f t="shared" si="517"/>
        <v>170300</v>
      </c>
      <c r="AD492" s="78">
        <f t="shared" si="517"/>
        <v>0</v>
      </c>
      <c r="AE492" s="78">
        <f t="shared" si="517"/>
        <v>170300</v>
      </c>
      <c r="AF492" s="78">
        <f t="shared" si="517"/>
        <v>0</v>
      </c>
      <c r="AG492" s="78">
        <f t="shared" si="517"/>
        <v>170300</v>
      </c>
      <c r="AH492" s="78">
        <f t="shared" si="517"/>
        <v>0</v>
      </c>
      <c r="AI492" s="78">
        <f t="shared" si="517"/>
        <v>170300</v>
      </c>
      <c r="AJ492" s="78">
        <f t="shared" si="517"/>
        <v>0</v>
      </c>
      <c r="AK492" s="78">
        <f t="shared" si="517"/>
        <v>170300</v>
      </c>
      <c r="AL492" s="78">
        <f t="shared" si="517"/>
        <v>0</v>
      </c>
      <c r="AM492" s="78">
        <f t="shared" si="517"/>
        <v>170300</v>
      </c>
    </row>
    <row r="493" spans="1:39" s="23" customFormat="1" ht="21" customHeight="1">
      <c r="A493" s="64"/>
      <c r="B493" s="79"/>
      <c r="C493" s="83">
        <v>4300</v>
      </c>
      <c r="D493" s="86" t="s">
        <v>78</v>
      </c>
      <c r="E493" s="78">
        <v>134000</v>
      </c>
      <c r="F493" s="78"/>
      <c r="G493" s="78">
        <f>SUM(E493:F493)</f>
        <v>134000</v>
      </c>
      <c r="H493" s="78"/>
      <c r="I493" s="78">
        <f>SUM(G493:H493)</f>
        <v>134000</v>
      </c>
      <c r="J493" s="78"/>
      <c r="K493" s="78">
        <f>SUM(I493:J493)</f>
        <v>134000</v>
      </c>
      <c r="L493" s="78"/>
      <c r="M493" s="78">
        <f>SUM(K493:L493)</f>
        <v>134000</v>
      </c>
      <c r="N493" s="78"/>
      <c r="O493" s="78">
        <f>SUM(M493:N493)</f>
        <v>134000</v>
      </c>
      <c r="P493" s="78"/>
      <c r="Q493" s="78">
        <f>SUM(O493:P493)</f>
        <v>134000</v>
      </c>
      <c r="R493" s="78"/>
      <c r="S493" s="78">
        <f>SUM(Q493:R493)</f>
        <v>134000</v>
      </c>
      <c r="T493" s="78"/>
      <c r="U493" s="78">
        <f>SUM(S493:T493)</f>
        <v>134000</v>
      </c>
      <c r="V493" s="78">
        <v>36300</v>
      </c>
      <c r="W493" s="78">
        <f>SUM(U493:V493)</f>
        <v>170300</v>
      </c>
      <c r="X493" s="78"/>
      <c r="Y493" s="78">
        <f>SUM(W493:X493)</f>
        <v>170300</v>
      </c>
      <c r="Z493" s="78"/>
      <c r="AA493" s="78">
        <f>SUM(Y493:Z493)</f>
        <v>170300</v>
      </c>
      <c r="AB493" s="78"/>
      <c r="AC493" s="78">
        <f>SUM(AA493:AB493)</f>
        <v>170300</v>
      </c>
      <c r="AD493" s="78"/>
      <c r="AE493" s="78">
        <f>SUM(AC493:AD493)</f>
        <v>170300</v>
      </c>
      <c r="AF493" s="78"/>
      <c r="AG493" s="78">
        <f>SUM(AE493:AF493)</f>
        <v>170300</v>
      </c>
      <c r="AH493" s="78"/>
      <c r="AI493" s="78">
        <f>SUM(AG493:AH493)</f>
        <v>170300</v>
      </c>
      <c r="AJ493" s="78"/>
      <c r="AK493" s="78">
        <f>SUM(AI493:AJ493)</f>
        <v>170300</v>
      </c>
      <c r="AL493" s="78"/>
      <c r="AM493" s="78">
        <f>SUM(AK493:AL493)</f>
        <v>170300</v>
      </c>
    </row>
    <row r="494" spans="1:39" s="23" customFormat="1" ht="21" customHeight="1">
      <c r="A494" s="64"/>
      <c r="B494" s="79" t="s">
        <v>133</v>
      </c>
      <c r="C494" s="83"/>
      <c r="D494" s="37" t="s">
        <v>134</v>
      </c>
      <c r="E494" s="78">
        <f aca="true" t="shared" si="518" ref="E494:W494">SUM(E495:E498)</f>
        <v>1200000</v>
      </c>
      <c r="F494" s="78">
        <f t="shared" si="518"/>
        <v>-185000</v>
      </c>
      <c r="G494" s="78">
        <f t="shared" si="518"/>
        <v>1015000</v>
      </c>
      <c r="H494" s="78">
        <f t="shared" si="518"/>
        <v>0</v>
      </c>
      <c r="I494" s="78">
        <f t="shared" si="518"/>
        <v>1015000</v>
      </c>
      <c r="J494" s="78">
        <f t="shared" si="518"/>
        <v>0</v>
      </c>
      <c r="K494" s="78">
        <f t="shared" si="518"/>
        <v>1015000</v>
      </c>
      <c r="L494" s="78">
        <f t="shared" si="518"/>
        <v>3050</v>
      </c>
      <c r="M494" s="78">
        <f t="shared" si="518"/>
        <v>1018050</v>
      </c>
      <c r="N494" s="78">
        <f t="shared" si="518"/>
        <v>0</v>
      </c>
      <c r="O494" s="78">
        <f t="shared" si="518"/>
        <v>1018050</v>
      </c>
      <c r="P494" s="78">
        <f t="shared" si="518"/>
        <v>0</v>
      </c>
      <c r="Q494" s="78">
        <f t="shared" si="518"/>
        <v>1018050</v>
      </c>
      <c r="R494" s="78">
        <f t="shared" si="518"/>
        <v>0</v>
      </c>
      <c r="S494" s="78">
        <f t="shared" si="518"/>
        <v>1018050</v>
      </c>
      <c r="T494" s="78">
        <f t="shared" si="518"/>
        <v>0</v>
      </c>
      <c r="U494" s="78">
        <f t="shared" si="518"/>
        <v>1018050</v>
      </c>
      <c r="V494" s="78">
        <f t="shared" si="518"/>
        <v>0</v>
      </c>
      <c r="W494" s="78">
        <f t="shared" si="518"/>
        <v>1018050</v>
      </c>
      <c r="X494" s="78">
        <f aca="true" t="shared" si="519" ref="X494:AC494">SUM(X495:X498)</f>
        <v>0</v>
      </c>
      <c r="Y494" s="78">
        <f t="shared" si="519"/>
        <v>1018050</v>
      </c>
      <c r="Z494" s="78">
        <f t="shared" si="519"/>
        <v>0</v>
      </c>
      <c r="AA494" s="78">
        <f t="shared" si="519"/>
        <v>1018050</v>
      </c>
      <c r="AB494" s="78">
        <f t="shared" si="519"/>
        <v>0</v>
      </c>
      <c r="AC494" s="78">
        <f t="shared" si="519"/>
        <v>1018050</v>
      </c>
      <c r="AD494" s="78">
        <f aca="true" t="shared" si="520" ref="AD494:AI494">SUM(AD495:AD498)</f>
        <v>150000</v>
      </c>
      <c r="AE494" s="78">
        <f t="shared" si="520"/>
        <v>1168050</v>
      </c>
      <c r="AF494" s="78">
        <f t="shared" si="520"/>
        <v>0</v>
      </c>
      <c r="AG494" s="78">
        <f t="shared" si="520"/>
        <v>1168050</v>
      </c>
      <c r="AH494" s="78">
        <f t="shared" si="520"/>
        <v>0</v>
      </c>
      <c r="AI494" s="78">
        <f t="shared" si="520"/>
        <v>1168050</v>
      </c>
      <c r="AJ494" s="78">
        <f>SUM(AJ495:AJ498)</f>
        <v>0</v>
      </c>
      <c r="AK494" s="78">
        <f>SUM(AK495:AK498)</f>
        <v>1168050</v>
      </c>
      <c r="AL494" s="78">
        <f>SUM(AL495:AL498)</f>
        <v>0</v>
      </c>
      <c r="AM494" s="78">
        <f>SUM(AM495:AM498)</f>
        <v>1168050</v>
      </c>
    </row>
    <row r="495" spans="1:39" s="23" customFormat="1" ht="21" customHeight="1">
      <c r="A495" s="64"/>
      <c r="B495" s="84"/>
      <c r="C495" s="64">
        <v>4260</v>
      </c>
      <c r="D495" s="37" t="s">
        <v>94</v>
      </c>
      <c r="E495" s="78">
        <v>800000</v>
      </c>
      <c r="F495" s="78">
        <v>-100000</v>
      </c>
      <c r="G495" s="78">
        <f>SUM(E495:F495)</f>
        <v>700000</v>
      </c>
      <c r="H495" s="78"/>
      <c r="I495" s="78">
        <f>SUM(G495:H495)</f>
        <v>700000</v>
      </c>
      <c r="J495" s="78"/>
      <c r="K495" s="78">
        <f>SUM(I495:J495)</f>
        <v>700000</v>
      </c>
      <c r="L495" s="78"/>
      <c r="M495" s="78">
        <f>SUM(K495:L495)</f>
        <v>700000</v>
      </c>
      <c r="N495" s="78"/>
      <c r="O495" s="78">
        <f>SUM(M495:N495)</f>
        <v>700000</v>
      </c>
      <c r="P495" s="78"/>
      <c r="Q495" s="78">
        <f>SUM(O495:P495)</f>
        <v>700000</v>
      </c>
      <c r="R495" s="78"/>
      <c r="S495" s="78">
        <f>SUM(Q495:R495)</f>
        <v>700000</v>
      </c>
      <c r="T495" s="78"/>
      <c r="U495" s="78">
        <f>SUM(S495:T495)</f>
        <v>700000</v>
      </c>
      <c r="V495" s="78"/>
      <c r="W495" s="78">
        <f>SUM(U495:V495)</f>
        <v>700000</v>
      </c>
      <c r="X495" s="78"/>
      <c r="Y495" s="78">
        <f>SUM(W495:X495)</f>
        <v>700000</v>
      </c>
      <c r="Z495" s="78"/>
      <c r="AA495" s="78">
        <f>SUM(Y495:Z495)</f>
        <v>700000</v>
      </c>
      <c r="AB495" s="78"/>
      <c r="AC495" s="78">
        <f>SUM(AA495:AB495)</f>
        <v>700000</v>
      </c>
      <c r="AD495" s="78">
        <v>120000</v>
      </c>
      <c r="AE495" s="78">
        <f>SUM(AC495:AD495)</f>
        <v>820000</v>
      </c>
      <c r="AF495" s="78"/>
      <c r="AG495" s="78">
        <f>SUM(AE495:AF495)</f>
        <v>820000</v>
      </c>
      <c r="AH495" s="78"/>
      <c r="AI495" s="78">
        <f>SUM(AG495:AH495)</f>
        <v>820000</v>
      </c>
      <c r="AJ495" s="78"/>
      <c r="AK495" s="78">
        <f>SUM(AI495:AJ495)</f>
        <v>820000</v>
      </c>
      <c r="AL495" s="78">
        <v>-7000</v>
      </c>
      <c r="AM495" s="78">
        <f>SUM(AK495:AL495)</f>
        <v>813000</v>
      </c>
    </row>
    <row r="496" spans="1:39" s="23" customFormat="1" ht="21" customHeight="1">
      <c r="A496" s="64"/>
      <c r="B496" s="84"/>
      <c r="C496" s="64">
        <v>4270</v>
      </c>
      <c r="D496" s="37" t="s">
        <v>77</v>
      </c>
      <c r="E496" s="78">
        <v>350000</v>
      </c>
      <c r="F496" s="78">
        <v>-100000</v>
      </c>
      <c r="G496" s="78">
        <f>SUM(E496:F496)</f>
        <v>250000</v>
      </c>
      <c r="H496" s="78"/>
      <c r="I496" s="78">
        <f>SUM(G496:H496)</f>
        <v>250000</v>
      </c>
      <c r="J496" s="78"/>
      <c r="K496" s="78">
        <f>SUM(I496:J496)</f>
        <v>250000</v>
      </c>
      <c r="L496" s="78"/>
      <c r="M496" s="78">
        <f>SUM(K496:L496)</f>
        <v>250000</v>
      </c>
      <c r="N496" s="78"/>
      <c r="O496" s="78">
        <f>SUM(M496:N496)</f>
        <v>250000</v>
      </c>
      <c r="P496" s="78"/>
      <c r="Q496" s="78">
        <f>SUM(O496:P496)</f>
        <v>250000</v>
      </c>
      <c r="R496" s="78"/>
      <c r="S496" s="78">
        <f>SUM(Q496:R496)</f>
        <v>250000</v>
      </c>
      <c r="T496" s="78"/>
      <c r="U496" s="78">
        <f>SUM(S496:T496)</f>
        <v>250000</v>
      </c>
      <c r="V496" s="78"/>
      <c r="W496" s="78">
        <f>SUM(U496:V496)</f>
        <v>250000</v>
      </c>
      <c r="X496" s="78"/>
      <c r="Y496" s="78">
        <f>SUM(W496:X496)</f>
        <v>250000</v>
      </c>
      <c r="Z496" s="78"/>
      <c r="AA496" s="78">
        <f>SUM(Y496:Z496)</f>
        <v>250000</v>
      </c>
      <c r="AB496" s="78"/>
      <c r="AC496" s="78">
        <f>SUM(AA496:AB496)</f>
        <v>250000</v>
      </c>
      <c r="AD496" s="78">
        <v>30000</v>
      </c>
      <c r="AE496" s="78">
        <f>SUM(AC496:AD496)</f>
        <v>280000</v>
      </c>
      <c r="AF496" s="78"/>
      <c r="AG496" s="78">
        <f>SUM(AE496:AF496)</f>
        <v>280000</v>
      </c>
      <c r="AH496" s="78"/>
      <c r="AI496" s="78">
        <f>SUM(AG496:AH496)</f>
        <v>280000</v>
      </c>
      <c r="AJ496" s="78"/>
      <c r="AK496" s="78">
        <f>SUM(AI496:AJ496)</f>
        <v>280000</v>
      </c>
      <c r="AL496" s="78"/>
      <c r="AM496" s="78">
        <f>SUM(AK496:AL496)</f>
        <v>280000</v>
      </c>
    </row>
    <row r="497" spans="1:39" s="163" customFormat="1" ht="21" customHeight="1">
      <c r="A497" s="259"/>
      <c r="B497" s="260"/>
      <c r="C497" s="64">
        <v>4300</v>
      </c>
      <c r="D497" s="37" t="s">
        <v>78</v>
      </c>
      <c r="E497" s="78">
        <v>50000</v>
      </c>
      <c r="F497" s="78"/>
      <c r="G497" s="78">
        <f>SUM(E497:F497)</f>
        <v>50000</v>
      </c>
      <c r="H497" s="78"/>
      <c r="I497" s="78">
        <f>SUM(G497:H497)</f>
        <v>50000</v>
      </c>
      <c r="J497" s="78"/>
      <c r="K497" s="78">
        <f>SUM(I497:J497)</f>
        <v>50000</v>
      </c>
      <c r="L497" s="78">
        <v>3050</v>
      </c>
      <c r="M497" s="78">
        <f>SUM(K497:L497)</f>
        <v>53050</v>
      </c>
      <c r="N497" s="78"/>
      <c r="O497" s="78">
        <f>SUM(M497:N497)</f>
        <v>53050</v>
      </c>
      <c r="P497" s="78"/>
      <c r="Q497" s="78">
        <f>SUM(O497:P497)</f>
        <v>53050</v>
      </c>
      <c r="R497" s="78"/>
      <c r="S497" s="78">
        <f>SUM(Q497:R497)</f>
        <v>53050</v>
      </c>
      <c r="T497" s="78"/>
      <c r="U497" s="78">
        <f>SUM(S497:T497)</f>
        <v>53050</v>
      </c>
      <c r="V497" s="78"/>
      <c r="W497" s="78">
        <f>SUM(U497:V497)</f>
        <v>53050</v>
      </c>
      <c r="X497" s="78"/>
      <c r="Y497" s="78">
        <f>SUM(W497:X497)</f>
        <v>53050</v>
      </c>
      <c r="Z497" s="78"/>
      <c r="AA497" s="78">
        <f>SUM(Y497:Z497)</f>
        <v>53050</v>
      </c>
      <c r="AB497" s="78"/>
      <c r="AC497" s="78">
        <f>SUM(AA497:AB497)</f>
        <v>53050</v>
      </c>
      <c r="AD497" s="78"/>
      <c r="AE497" s="78">
        <f>SUM(AC497:AD497)</f>
        <v>53050</v>
      </c>
      <c r="AF497" s="78"/>
      <c r="AG497" s="78">
        <f>SUM(AE497:AF497)</f>
        <v>53050</v>
      </c>
      <c r="AH497" s="78"/>
      <c r="AI497" s="78">
        <f>SUM(AG497:AH497)</f>
        <v>53050</v>
      </c>
      <c r="AJ497" s="78"/>
      <c r="AK497" s="78">
        <f>SUM(AI497:AJ497)</f>
        <v>53050</v>
      </c>
      <c r="AL497" s="78">
        <v>7000</v>
      </c>
      <c r="AM497" s="78">
        <f>SUM(AK497:AL497)</f>
        <v>60050</v>
      </c>
    </row>
    <row r="498" spans="1:39" s="23" customFormat="1" ht="21" customHeight="1">
      <c r="A498" s="64"/>
      <c r="B498" s="84"/>
      <c r="C498" s="64">
        <v>6050</v>
      </c>
      <c r="D498" s="37" t="s">
        <v>72</v>
      </c>
      <c r="E498" s="78">
        <v>0</v>
      </c>
      <c r="F498" s="78">
        <f>5000+10000</f>
        <v>15000</v>
      </c>
      <c r="G498" s="78">
        <f>SUM(E498:F498)</f>
        <v>15000</v>
      </c>
      <c r="H498" s="78"/>
      <c r="I498" s="78">
        <f>SUM(G498:H498)</f>
        <v>15000</v>
      </c>
      <c r="J498" s="78"/>
      <c r="K498" s="78">
        <f>SUM(I498:J498)</f>
        <v>15000</v>
      </c>
      <c r="L498" s="78"/>
      <c r="M498" s="78">
        <f>SUM(K498:L498)</f>
        <v>15000</v>
      </c>
      <c r="N498" s="78"/>
      <c r="O498" s="78">
        <f>SUM(M498:N498)</f>
        <v>15000</v>
      </c>
      <c r="P498" s="78"/>
      <c r="Q498" s="78">
        <f>SUM(O498:P498)</f>
        <v>15000</v>
      </c>
      <c r="R498" s="78"/>
      <c r="S498" s="78">
        <f>SUM(Q498:R498)</f>
        <v>15000</v>
      </c>
      <c r="T498" s="78"/>
      <c r="U498" s="78">
        <f>SUM(S498:T498)</f>
        <v>15000</v>
      </c>
      <c r="V498" s="78"/>
      <c r="W498" s="78">
        <f>SUM(U498:V498)</f>
        <v>15000</v>
      </c>
      <c r="X498" s="78"/>
      <c r="Y498" s="78">
        <f>SUM(W498:X498)</f>
        <v>15000</v>
      </c>
      <c r="Z498" s="78"/>
      <c r="AA498" s="78">
        <f>SUM(Y498:Z498)</f>
        <v>15000</v>
      </c>
      <c r="AB498" s="78"/>
      <c r="AC498" s="78">
        <f>SUM(AA498:AB498)</f>
        <v>15000</v>
      </c>
      <c r="AD498" s="78"/>
      <c r="AE498" s="78">
        <f>SUM(AC498:AD498)</f>
        <v>15000</v>
      </c>
      <c r="AF498" s="78"/>
      <c r="AG498" s="78">
        <f>SUM(AE498:AF498)</f>
        <v>15000</v>
      </c>
      <c r="AH498" s="78"/>
      <c r="AI498" s="78">
        <f>SUM(AG498:AH498)</f>
        <v>15000</v>
      </c>
      <c r="AJ498" s="78"/>
      <c r="AK498" s="78">
        <f>SUM(AI498:AJ498)</f>
        <v>15000</v>
      </c>
      <c r="AL498" s="78"/>
      <c r="AM498" s="78">
        <f>SUM(AK498:AL498)</f>
        <v>15000</v>
      </c>
    </row>
    <row r="499" spans="1:39" s="23" customFormat="1" ht="33.75">
      <c r="A499" s="64"/>
      <c r="B499" s="84">
        <v>90019</v>
      </c>
      <c r="C499" s="64"/>
      <c r="D499" s="74" t="s">
        <v>334</v>
      </c>
      <c r="E499" s="78"/>
      <c r="F499" s="78"/>
      <c r="G499" s="78"/>
      <c r="H499" s="78"/>
      <c r="I499" s="78"/>
      <c r="J499" s="78"/>
      <c r="K499" s="78">
        <f aca="true" t="shared" si="521" ref="K499:W499">SUM(K500:K501)</f>
        <v>0</v>
      </c>
      <c r="L499" s="78">
        <f t="shared" si="521"/>
        <v>322117</v>
      </c>
      <c r="M499" s="78">
        <f t="shared" si="521"/>
        <v>322117</v>
      </c>
      <c r="N499" s="78">
        <f t="shared" si="521"/>
        <v>0</v>
      </c>
      <c r="O499" s="78">
        <f t="shared" si="521"/>
        <v>322117</v>
      </c>
      <c r="P499" s="78">
        <f t="shared" si="521"/>
        <v>0</v>
      </c>
      <c r="Q499" s="78">
        <f t="shared" si="521"/>
        <v>322117</v>
      </c>
      <c r="R499" s="78">
        <f t="shared" si="521"/>
        <v>0</v>
      </c>
      <c r="S499" s="78">
        <f t="shared" si="521"/>
        <v>322117</v>
      </c>
      <c r="T499" s="78">
        <f t="shared" si="521"/>
        <v>0</v>
      </c>
      <c r="U499" s="78">
        <f t="shared" si="521"/>
        <v>322117</v>
      </c>
      <c r="V499" s="78">
        <f t="shared" si="521"/>
        <v>0</v>
      </c>
      <c r="W499" s="78">
        <f t="shared" si="521"/>
        <v>322117</v>
      </c>
      <c r="X499" s="78">
        <f>SUM(X500:X501)</f>
        <v>0</v>
      </c>
      <c r="Y499" s="78">
        <f>SUM(Y500:Y501)</f>
        <v>322117</v>
      </c>
      <c r="Z499" s="78">
        <f>SUM(Z500:Z501)</f>
        <v>0</v>
      </c>
      <c r="AA499" s="78">
        <f>SUM(AA500:AA501)</f>
        <v>322117</v>
      </c>
      <c r="AB499" s="78">
        <f>SUM(AB500:AB501)</f>
        <v>0</v>
      </c>
      <c r="AC499" s="78">
        <f aca="true" t="shared" si="522" ref="AC499:AI499">SUM(AC500:AC502)</f>
        <v>322117</v>
      </c>
      <c r="AD499" s="78">
        <f t="shared" si="522"/>
        <v>20000</v>
      </c>
      <c r="AE499" s="78">
        <f t="shared" si="522"/>
        <v>342117</v>
      </c>
      <c r="AF499" s="78">
        <f t="shared" si="522"/>
        <v>0</v>
      </c>
      <c r="AG499" s="78">
        <f t="shared" si="522"/>
        <v>342117</v>
      </c>
      <c r="AH499" s="78">
        <f t="shared" si="522"/>
        <v>76000</v>
      </c>
      <c r="AI499" s="78">
        <f t="shared" si="522"/>
        <v>418117</v>
      </c>
      <c r="AJ499" s="78">
        <f>SUM(AJ500:AJ502)</f>
        <v>0</v>
      </c>
      <c r="AK499" s="78">
        <f>SUM(AK500:AK502)</f>
        <v>418117</v>
      </c>
      <c r="AL499" s="78">
        <f>SUM(AL500:AL502)</f>
        <v>0</v>
      </c>
      <c r="AM499" s="78">
        <f>SUM(AM500:AM502)</f>
        <v>418117</v>
      </c>
    </row>
    <row r="500" spans="1:39" s="23" customFormat="1" ht="21" customHeight="1">
      <c r="A500" s="64"/>
      <c r="B500" s="84"/>
      <c r="C500" s="64">
        <v>4210</v>
      </c>
      <c r="D500" s="37" t="s">
        <v>91</v>
      </c>
      <c r="E500" s="78"/>
      <c r="F500" s="78"/>
      <c r="G500" s="78"/>
      <c r="H500" s="78"/>
      <c r="I500" s="78"/>
      <c r="J500" s="78"/>
      <c r="K500" s="78">
        <v>0</v>
      </c>
      <c r="L500" s="78">
        <v>85517</v>
      </c>
      <c r="M500" s="78">
        <f>SUM(K500:L500)</f>
        <v>85517</v>
      </c>
      <c r="N500" s="78"/>
      <c r="O500" s="78">
        <f>SUM(M500:N500)</f>
        <v>85517</v>
      </c>
      <c r="P500" s="78"/>
      <c r="Q500" s="78">
        <f>SUM(O500:P500)</f>
        <v>85517</v>
      </c>
      <c r="R500" s="78"/>
      <c r="S500" s="78">
        <f>SUM(Q500:R500)</f>
        <v>85517</v>
      </c>
      <c r="T500" s="78"/>
      <c r="U500" s="78">
        <f>SUM(S500:T500)</f>
        <v>85517</v>
      </c>
      <c r="V500" s="78"/>
      <c r="W500" s="78">
        <f>SUM(U500:V500)</f>
        <v>85517</v>
      </c>
      <c r="X500" s="78"/>
      <c r="Y500" s="78">
        <f>SUM(W500:X500)</f>
        <v>85517</v>
      </c>
      <c r="Z500" s="78"/>
      <c r="AA500" s="78">
        <f>SUM(Y500:Z500)</f>
        <v>85517</v>
      </c>
      <c r="AB500" s="78"/>
      <c r="AC500" s="78">
        <f>SUM(AA500:AB500)</f>
        <v>85517</v>
      </c>
      <c r="AD500" s="78"/>
      <c r="AE500" s="78">
        <f>SUM(AC500:AD500)</f>
        <v>85517</v>
      </c>
      <c r="AF500" s="78"/>
      <c r="AG500" s="78">
        <f>SUM(AE500:AF500)</f>
        <v>85517</v>
      </c>
      <c r="AH500" s="78"/>
      <c r="AI500" s="78">
        <f>SUM(AG500:AH500)</f>
        <v>85517</v>
      </c>
      <c r="AJ500" s="78"/>
      <c r="AK500" s="78">
        <f>SUM(AI500:AJ500)</f>
        <v>85517</v>
      </c>
      <c r="AL500" s="78"/>
      <c r="AM500" s="78">
        <f>SUM(AK500:AL500)</f>
        <v>85517</v>
      </c>
    </row>
    <row r="501" spans="1:39" s="23" customFormat="1" ht="21" customHeight="1">
      <c r="A501" s="64"/>
      <c r="B501" s="84"/>
      <c r="C501" s="64">
        <v>4300</v>
      </c>
      <c r="D501" s="37" t="s">
        <v>78</v>
      </c>
      <c r="E501" s="78"/>
      <c r="F501" s="78"/>
      <c r="G501" s="78"/>
      <c r="H501" s="78"/>
      <c r="I501" s="78"/>
      <c r="J501" s="78"/>
      <c r="K501" s="78">
        <v>0</v>
      </c>
      <c r="L501" s="78">
        <v>236600</v>
      </c>
      <c r="M501" s="78">
        <f>SUM(K501:L501)</f>
        <v>236600</v>
      </c>
      <c r="N501" s="78"/>
      <c r="O501" s="78">
        <f>SUM(M501:N501)</f>
        <v>236600</v>
      </c>
      <c r="P501" s="78"/>
      <c r="Q501" s="78">
        <f>SUM(O501:P501)</f>
        <v>236600</v>
      </c>
      <c r="R501" s="78"/>
      <c r="S501" s="78">
        <f>SUM(Q501:R501)</f>
        <v>236600</v>
      </c>
      <c r="T501" s="78"/>
      <c r="U501" s="78">
        <f>SUM(S501:T501)</f>
        <v>236600</v>
      </c>
      <c r="V501" s="78"/>
      <c r="W501" s="78">
        <f>SUM(U501:V501)</f>
        <v>236600</v>
      </c>
      <c r="X501" s="78"/>
      <c r="Y501" s="78">
        <f>SUM(W501:X501)</f>
        <v>236600</v>
      </c>
      <c r="Z501" s="78"/>
      <c r="AA501" s="78">
        <f>SUM(Y501:Z501)</f>
        <v>236600</v>
      </c>
      <c r="AB501" s="78"/>
      <c r="AC501" s="78">
        <f>SUM(AA501:AB501)</f>
        <v>236600</v>
      </c>
      <c r="AD501" s="78"/>
      <c r="AE501" s="78">
        <f>SUM(AC501:AD501)</f>
        <v>236600</v>
      </c>
      <c r="AF501" s="78"/>
      <c r="AG501" s="78">
        <f>SUM(AE501:AF501)</f>
        <v>236600</v>
      </c>
      <c r="AH501" s="78">
        <v>76000</v>
      </c>
      <c r="AI501" s="78">
        <f>SUM(AG501:AH501)</f>
        <v>312600</v>
      </c>
      <c r="AJ501" s="78"/>
      <c r="AK501" s="78">
        <f>SUM(AI501:AJ501)</f>
        <v>312600</v>
      </c>
      <c r="AL501" s="78"/>
      <c r="AM501" s="78">
        <f>SUM(AK501:AL501)</f>
        <v>312600</v>
      </c>
    </row>
    <row r="502" spans="1:39" s="23" customFormat="1" ht="22.5">
      <c r="A502" s="64"/>
      <c r="B502" s="84"/>
      <c r="C502" s="64">
        <v>4390</v>
      </c>
      <c r="D502" s="37" t="s">
        <v>239</v>
      </c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>
        <v>0</v>
      </c>
      <c r="AD502" s="78">
        <v>20000</v>
      </c>
      <c r="AE502" s="78">
        <f>SUM(AC502:AD502)</f>
        <v>20000</v>
      </c>
      <c r="AF502" s="78"/>
      <c r="AG502" s="78">
        <f>SUM(AE502:AF502)</f>
        <v>20000</v>
      </c>
      <c r="AH502" s="78"/>
      <c r="AI502" s="78">
        <f>SUM(AG502:AH502)</f>
        <v>20000</v>
      </c>
      <c r="AJ502" s="78"/>
      <c r="AK502" s="78">
        <f>SUM(AI502:AJ502)</f>
        <v>20000</v>
      </c>
      <c r="AL502" s="78"/>
      <c r="AM502" s="78">
        <f>SUM(AK502:AL502)</f>
        <v>20000</v>
      </c>
    </row>
    <row r="503" spans="1:39" s="23" customFormat="1" ht="21" customHeight="1">
      <c r="A503" s="64"/>
      <c r="B503" s="79" t="s">
        <v>135</v>
      </c>
      <c r="C503" s="83"/>
      <c r="D503" s="37" t="s">
        <v>6</v>
      </c>
      <c r="E503" s="78">
        <f aca="true" t="shared" si="523" ref="E503:W503">SUM(E504:E507)</f>
        <v>55800</v>
      </c>
      <c r="F503" s="78">
        <f t="shared" si="523"/>
        <v>0</v>
      </c>
      <c r="G503" s="78">
        <f t="shared" si="523"/>
        <v>55800</v>
      </c>
      <c r="H503" s="78">
        <f t="shared" si="523"/>
        <v>0</v>
      </c>
      <c r="I503" s="78">
        <f t="shared" si="523"/>
        <v>55800</v>
      </c>
      <c r="J503" s="78">
        <f t="shared" si="523"/>
        <v>0</v>
      </c>
      <c r="K503" s="78">
        <f t="shared" si="523"/>
        <v>55800</v>
      </c>
      <c r="L503" s="78">
        <f t="shared" si="523"/>
        <v>0</v>
      </c>
      <c r="M503" s="78">
        <f t="shared" si="523"/>
        <v>55800</v>
      </c>
      <c r="N503" s="78">
        <f t="shared" si="523"/>
        <v>0</v>
      </c>
      <c r="O503" s="78">
        <f t="shared" si="523"/>
        <v>55800</v>
      </c>
      <c r="P503" s="78">
        <f t="shared" si="523"/>
        <v>0</v>
      </c>
      <c r="Q503" s="78">
        <f t="shared" si="523"/>
        <v>55800</v>
      </c>
      <c r="R503" s="78">
        <f t="shared" si="523"/>
        <v>0</v>
      </c>
      <c r="S503" s="78">
        <f t="shared" si="523"/>
        <v>55800</v>
      </c>
      <c r="T503" s="78">
        <f t="shared" si="523"/>
        <v>0</v>
      </c>
      <c r="U503" s="78">
        <f t="shared" si="523"/>
        <v>55800</v>
      </c>
      <c r="V503" s="78">
        <f t="shared" si="523"/>
        <v>0</v>
      </c>
      <c r="W503" s="78">
        <f t="shared" si="523"/>
        <v>55800</v>
      </c>
      <c r="X503" s="78">
        <f aca="true" t="shared" si="524" ref="X503:AC503">SUM(X504:X507)</f>
        <v>0</v>
      </c>
      <c r="Y503" s="78">
        <f t="shared" si="524"/>
        <v>55800</v>
      </c>
      <c r="Z503" s="78">
        <f t="shared" si="524"/>
        <v>0</v>
      </c>
      <c r="AA503" s="78">
        <f t="shared" si="524"/>
        <v>55800</v>
      </c>
      <c r="AB503" s="78">
        <f t="shared" si="524"/>
        <v>0</v>
      </c>
      <c r="AC503" s="78">
        <f t="shared" si="524"/>
        <v>55800</v>
      </c>
      <c r="AD503" s="78">
        <f aca="true" t="shared" si="525" ref="AD503:AI503">SUM(AD504:AD507)</f>
        <v>0</v>
      </c>
      <c r="AE503" s="78">
        <f t="shared" si="525"/>
        <v>55800</v>
      </c>
      <c r="AF503" s="78">
        <f t="shared" si="525"/>
        <v>0</v>
      </c>
      <c r="AG503" s="78">
        <f t="shared" si="525"/>
        <v>55800</v>
      </c>
      <c r="AH503" s="78">
        <f t="shared" si="525"/>
        <v>0</v>
      </c>
      <c r="AI503" s="78">
        <f t="shared" si="525"/>
        <v>55800</v>
      </c>
      <c r="AJ503" s="78">
        <f>SUM(AJ504:AJ507)</f>
        <v>0</v>
      </c>
      <c r="AK503" s="78">
        <f>SUM(AK504:AK507)</f>
        <v>55800</v>
      </c>
      <c r="AL503" s="78">
        <f>SUM(AL504:AL507)</f>
        <v>0</v>
      </c>
      <c r="AM503" s="78">
        <f>SUM(AM504:AM507)</f>
        <v>55800</v>
      </c>
    </row>
    <row r="504" spans="1:39" s="23" customFormat="1" ht="21" customHeight="1">
      <c r="A504" s="64"/>
      <c r="B504" s="79"/>
      <c r="C504" s="83">
        <v>4210</v>
      </c>
      <c r="D504" s="37" t="s">
        <v>91</v>
      </c>
      <c r="E504" s="78">
        <v>11800</v>
      </c>
      <c r="F504" s="78"/>
      <c r="G504" s="78">
        <f>SUM(E504:F504)</f>
        <v>11800</v>
      </c>
      <c r="H504" s="78"/>
      <c r="I504" s="78">
        <f>SUM(G504:H504)</f>
        <v>11800</v>
      </c>
      <c r="J504" s="78"/>
      <c r="K504" s="78">
        <f>SUM(I504:J504)</f>
        <v>11800</v>
      </c>
      <c r="L504" s="78"/>
      <c r="M504" s="78">
        <f>SUM(K504:L504)</f>
        <v>11800</v>
      </c>
      <c r="N504" s="78"/>
      <c r="O504" s="78">
        <f>SUM(M504:N504)</f>
        <v>11800</v>
      </c>
      <c r="P504" s="78"/>
      <c r="Q504" s="78">
        <f>SUM(O504:P504)</f>
        <v>11800</v>
      </c>
      <c r="R504" s="78"/>
      <c r="S504" s="78">
        <f>SUM(Q504:R504)</f>
        <v>11800</v>
      </c>
      <c r="T504" s="78"/>
      <c r="U504" s="78">
        <f>SUM(S504:T504)</f>
        <v>11800</v>
      </c>
      <c r="V504" s="78"/>
      <c r="W504" s="78">
        <f>SUM(U504:V504)</f>
        <v>11800</v>
      </c>
      <c r="X504" s="78"/>
      <c r="Y504" s="78">
        <f>SUM(W504:X504)</f>
        <v>11800</v>
      </c>
      <c r="Z504" s="78"/>
      <c r="AA504" s="78">
        <f>SUM(Y504:Z504)</f>
        <v>11800</v>
      </c>
      <c r="AB504" s="78"/>
      <c r="AC504" s="78">
        <f>SUM(AA504:AB504)</f>
        <v>11800</v>
      </c>
      <c r="AD504" s="78"/>
      <c r="AE504" s="78">
        <f>SUM(AC504:AD504)</f>
        <v>11800</v>
      </c>
      <c r="AF504" s="78"/>
      <c r="AG504" s="78">
        <f>SUM(AE504:AF504)</f>
        <v>11800</v>
      </c>
      <c r="AH504" s="78"/>
      <c r="AI504" s="78">
        <f>SUM(AG504:AH504)</f>
        <v>11800</v>
      </c>
      <c r="AJ504" s="78"/>
      <c r="AK504" s="78">
        <f>SUM(AI504:AJ504)</f>
        <v>11800</v>
      </c>
      <c r="AL504" s="78"/>
      <c r="AM504" s="78">
        <f>SUM(AK504:AL504)</f>
        <v>11800</v>
      </c>
    </row>
    <row r="505" spans="1:39" s="23" customFormat="1" ht="21" customHeight="1">
      <c r="A505" s="64"/>
      <c r="B505" s="84"/>
      <c r="C505" s="64">
        <v>4260</v>
      </c>
      <c r="D505" s="37" t="s">
        <v>94</v>
      </c>
      <c r="E505" s="78">
        <v>7000</v>
      </c>
      <c r="F505" s="78"/>
      <c r="G505" s="78">
        <f>SUM(E505:F505)</f>
        <v>7000</v>
      </c>
      <c r="H505" s="78"/>
      <c r="I505" s="78">
        <f>SUM(G505:H505)</f>
        <v>7000</v>
      </c>
      <c r="J505" s="78"/>
      <c r="K505" s="78">
        <f>SUM(I505:J505)</f>
        <v>7000</v>
      </c>
      <c r="L505" s="78"/>
      <c r="M505" s="78">
        <f>SUM(K505:L505)</f>
        <v>7000</v>
      </c>
      <c r="N505" s="78"/>
      <c r="O505" s="78">
        <f>SUM(M505:N505)</f>
        <v>7000</v>
      </c>
      <c r="P505" s="78"/>
      <c r="Q505" s="78">
        <f>SUM(O505:P505)</f>
        <v>7000</v>
      </c>
      <c r="R505" s="78"/>
      <c r="S505" s="78">
        <f>SUM(Q505:R505)</f>
        <v>7000</v>
      </c>
      <c r="T505" s="78"/>
      <c r="U505" s="78">
        <f>SUM(S505:T505)</f>
        <v>7000</v>
      </c>
      <c r="V505" s="78"/>
      <c r="W505" s="78">
        <f>SUM(U505:V505)</f>
        <v>7000</v>
      </c>
      <c r="X505" s="78"/>
      <c r="Y505" s="78">
        <f>SUM(W505:X505)</f>
        <v>7000</v>
      </c>
      <c r="Z505" s="78"/>
      <c r="AA505" s="78">
        <f>SUM(Y505:Z505)</f>
        <v>7000</v>
      </c>
      <c r="AB505" s="78"/>
      <c r="AC505" s="78">
        <f>SUM(AA505:AB505)</f>
        <v>7000</v>
      </c>
      <c r="AD505" s="78"/>
      <c r="AE505" s="78">
        <f>SUM(AC505:AD505)</f>
        <v>7000</v>
      </c>
      <c r="AF505" s="78"/>
      <c r="AG505" s="78">
        <f>SUM(AE505:AF505)</f>
        <v>7000</v>
      </c>
      <c r="AH505" s="78"/>
      <c r="AI505" s="78">
        <f>SUM(AG505:AH505)</f>
        <v>7000</v>
      </c>
      <c r="AJ505" s="78"/>
      <c r="AK505" s="78">
        <f>SUM(AI505:AJ505)</f>
        <v>7000</v>
      </c>
      <c r="AL505" s="78"/>
      <c r="AM505" s="78">
        <f>SUM(AK505:AL505)</f>
        <v>7000</v>
      </c>
    </row>
    <row r="506" spans="1:39" s="23" customFormat="1" ht="21" customHeight="1">
      <c r="A506" s="64"/>
      <c r="B506" s="84"/>
      <c r="C506" s="83">
        <v>4300</v>
      </c>
      <c r="D506" s="86" t="s">
        <v>78</v>
      </c>
      <c r="E506" s="78">
        <f>26000+9000</f>
        <v>35000</v>
      </c>
      <c r="F506" s="78"/>
      <c r="G506" s="78">
        <f>SUM(E506:F506)</f>
        <v>35000</v>
      </c>
      <c r="H506" s="78"/>
      <c r="I506" s="78">
        <f>SUM(G506:H506)</f>
        <v>35000</v>
      </c>
      <c r="J506" s="78"/>
      <c r="K506" s="78">
        <f>SUM(I506:J506)</f>
        <v>35000</v>
      </c>
      <c r="L506" s="78"/>
      <c r="M506" s="78">
        <f>SUM(K506:L506)</f>
        <v>35000</v>
      </c>
      <c r="N506" s="78"/>
      <c r="O506" s="78">
        <f>SUM(M506:N506)</f>
        <v>35000</v>
      </c>
      <c r="P506" s="78"/>
      <c r="Q506" s="78">
        <f>SUM(O506:P506)</f>
        <v>35000</v>
      </c>
      <c r="R506" s="78"/>
      <c r="S506" s="78">
        <f>SUM(Q506:R506)</f>
        <v>35000</v>
      </c>
      <c r="T506" s="78"/>
      <c r="U506" s="78">
        <f>SUM(S506:T506)</f>
        <v>35000</v>
      </c>
      <c r="V506" s="78"/>
      <c r="W506" s="78">
        <f>SUM(U506:V506)</f>
        <v>35000</v>
      </c>
      <c r="X506" s="78"/>
      <c r="Y506" s="78">
        <f>SUM(W506:X506)</f>
        <v>35000</v>
      </c>
      <c r="Z506" s="78"/>
      <c r="AA506" s="78">
        <f>SUM(Y506:Z506)</f>
        <v>35000</v>
      </c>
      <c r="AB506" s="78"/>
      <c r="AC506" s="78">
        <f>SUM(AA506:AB506)</f>
        <v>35000</v>
      </c>
      <c r="AD506" s="78"/>
      <c r="AE506" s="78">
        <f>SUM(AC506:AD506)</f>
        <v>35000</v>
      </c>
      <c r="AF506" s="78"/>
      <c r="AG506" s="78">
        <f>SUM(AE506:AF506)</f>
        <v>35000</v>
      </c>
      <c r="AH506" s="78"/>
      <c r="AI506" s="78">
        <f>SUM(AG506:AH506)</f>
        <v>35000</v>
      </c>
      <c r="AJ506" s="78"/>
      <c r="AK506" s="78">
        <f>SUM(AI506:AJ506)</f>
        <v>35000</v>
      </c>
      <c r="AL506" s="78"/>
      <c r="AM506" s="78">
        <f>SUM(AK506:AL506)</f>
        <v>35000</v>
      </c>
    </row>
    <row r="507" spans="1:39" s="23" customFormat="1" ht="30" customHeight="1">
      <c r="A507" s="64"/>
      <c r="B507" s="84"/>
      <c r="C507" s="83">
        <v>4390</v>
      </c>
      <c r="D507" s="37" t="s">
        <v>239</v>
      </c>
      <c r="E507" s="78">
        <v>2000</v>
      </c>
      <c r="F507" s="78"/>
      <c r="G507" s="78">
        <f>SUM(E507:F507)</f>
        <v>2000</v>
      </c>
      <c r="H507" s="78"/>
      <c r="I507" s="78">
        <f>SUM(G507:H507)</f>
        <v>2000</v>
      </c>
      <c r="J507" s="78"/>
      <c r="K507" s="78">
        <f>SUM(I507:J507)</f>
        <v>2000</v>
      </c>
      <c r="L507" s="78"/>
      <c r="M507" s="78">
        <f>SUM(K507:L507)</f>
        <v>2000</v>
      </c>
      <c r="N507" s="78"/>
      <c r="O507" s="78">
        <f>SUM(M507:N507)</f>
        <v>2000</v>
      </c>
      <c r="P507" s="78"/>
      <c r="Q507" s="78">
        <f>SUM(O507:P507)</f>
        <v>2000</v>
      </c>
      <c r="R507" s="78"/>
      <c r="S507" s="78">
        <f>SUM(Q507:R507)</f>
        <v>2000</v>
      </c>
      <c r="T507" s="78"/>
      <c r="U507" s="78">
        <f>SUM(S507:T507)</f>
        <v>2000</v>
      </c>
      <c r="V507" s="78"/>
      <c r="W507" s="78">
        <f>SUM(U507:V507)</f>
        <v>2000</v>
      </c>
      <c r="X507" s="78"/>
      <c r="Y507" s="78">
        <f>SUM(W507:X507)</f>
        <v>2000</v>
      </c>
      <c r="Z507" s="78"/>
      <c r="AA507" s="78">
        <f>SUM(Y507:Z507)</f>
        <v>2000</v>
      </c>
      <c r="AB507" s="78"/>
      <c r="AC507" s="78">
        <f>SUM(AA507:AB507)</f>
        <v>2000</v>
      </c>
      <c r="AD507" s="78"/>
      <c r="AE507" s="78">
        <f>SUM(AC507:AD507)</f>
        <v>2000</v>
      </c>
      <c r="AF507" s="78"/>
      <c r="AG507" s="78">
        <f>SUM(AE507:AF507)</f>
        <v>2000</v>
      </c>
      <c r="AH507" s="78"/>
      <c r="AI507" s="78">
        <f>SUM(AG507:AH507)</f>
        <v>2000</v>
      </c>
      <c r="AJ507" s="78"/>
      <c r="AK507" s="78">
        <f>SUM(AI507:AJ507)</f>
        <v>2000</v>
      </c>
      <c r="AL507" s="78"/>
      <c r="AM507" s="78">
        <f>SUM(AK507:AL507)</f>
        <v>2000</v>
      </c>
    </row>
    <row r="508" spans="1:39" s="5" customFormat="1" ht="25.5" customHeight="1">
      <c r="A508" s="32" t="s">
        <v>62</v>
      </c>
      <c r="B508" s="33"/>
      <c r="C508" s="34"/>
      <c r="D508" s="35" t="s">
        <v>136</v>
      </c>
      <c r="E508" s="36">
        <f aca="true" t="shared" si="526" ref="E508:W508">SUM(E509,E516,E518,E520,E522)</f>
        <v>2570955</v>
      </c>
      <c r="F508" s="36">
        <f t="shared" si="526"/>
        <v>170500</v>
      </c>
      <c r="G508" s="36">
        <f t="shared" si="526"/>
        <v>2741455</v>
      </c>
      <c r="H508" s="36">
        <f t="shared" si="526"/>
        <v>0</v>
      </c>
      <c r="I508" s="36">
        <f t="shared" si="526"/>
        <v>2741455</v>
      </c>
      <c r="J508" s="36">
        <f t="shared" si="526"/>
        <v>0</v>
      </c>
      <c r="K508" s="36">
        <f t="shared" si="526"/>
        <v>2741455</v>
      </c>
      <c r="L508" s="36">
        <f t="shared" si="526"/>
        <v>8700</v>
      </c>
      <c r="M508" s="36">
        <f t="shared" si="526"/>
        <v>2750155</v>
      </c>
      <c r="N508" s="36">
        <f t="shared" si="526"/>
        <v>0</v>
      </c>
      <c r="O508" s="36">
        <f t="shared" si="526"/>
        <v>2750155</v>
      </c>
      <c r="P508" s="36">
        <f t="shared" si="526"/>
        <v>0</v>
      </c>
      <c r="Q508" s="36">
        <f t="shared" si="526"/>
        <v>2750155</v>
      </c>
      <c r="R508" s="36">
        <f t="shared" si="526"/>
        <v>0</v>
      </c>
      <c r="S508" s="36">
        <f t="shared" si="526"/>
        <v>2750155</v>
      </c>
      <c r="T508" s="36">
        <f t="shared" si="526"/>
        <v>0</v>
      </c>
      <c r="U508" s="36">
        <f t="shared" si="526"/>
        <v>2750155</v>
      </c>
      <c r="V508" s="36">
        <f t="shared" si="526"/>
        <v>0</v>
      </c>
      <c r="W508" s="36">
        <f t="shared" si="526"/>
        <v>2750155</v>
      </c>
      <c r="X508" s="36">
        <f aca="true" t="shared" si="527" ref="X508:AC508">SUM(X509,X516,X518,X520,X522)</f>
        <v>0</v>
      </c>
      <c r="Y508" s="36">
        <f t="shared" si="527"/>
        <v>2750155</v>
      </c>
      <c r="Z508" s="36">
        <f t="shared" si="527"/>
        <v>0</v>
      </c>
      <c r="AA508" s="36">
        <f t="shared" si="527"/>
        <v>2750155</v>
      </c>
      <c r="AB508" s="36">
        <f t="shared" si="527"/>
        <v>0</v>
      </c>
      <c r="AC508" s="36">
        <f t="shared" si="527"/>
        <v>2750155</v>
      </c>
      <c r="AD508" s="36">
        <f aca="true" t="shared" si="528" ref="AD508:AI508">SUM(AD509,AD516,AD518,AD520,AD522)</f>
        <v>-54522</v>
      </c>
      <c r="AE508" s="36">
        <f t="shared" si="528"/>
        <v>2695633</v>
      </c>
      <c r="AF508" s="36">
        <f t="shared" si="528"/>
        <v>0</v>
      </c>
      <c r="AG508" s="36">
        <f t="shared" si="528"/>
        <v>2695633</v>
      </c>
      <c r="AH508" s="36">
        <f t="shared" si="528"/>
        <v>0</v>
      </c>
      <c r="AI508" s="36">
        <f t="shared" si="528"/>
        <v>2695633</v>
      </c>
      <c r="AJ508" s="36">
        <f>SUM(AJ509,AJ516,AJ518,AJ520,AJ522)</f>
        <v>28719</v>
      </c>
      <c r="AK508" s="36">
        <f>SUM(AK509,AK516,AK518,AK520,AK522)</f>
        <v>2724352</v>
      </c>
      <c r="AL508" s="36">
        <f>SUM(AL509,AL516,AL518,AL520,AL522)</f>
        <v>0</v>
      </c>
      <c r="AM508" s="36">
        <f>SUM(AM509,AM516,AM518,AM520,AM522)</f>
        <v>2724352</v>
      </c>
    </row>
    <row r="509" spans="1:39" s="23" customFormat="1" ht="21.75" customHeight="1">
      <c r="A509" s="64"/>
      <c r="B509" s="79" t="s">
        <v>137</v>
      </c>
      <c r="C509" s="83"/>
      <c r="D509" s="37" t="s">
        <v>149</v>
      </c>
      <c r="E509" s="78">
        <f aca="true" t="shared" si="529" ref="E509:W509">SUM(E510:E515)</f>
        <v>713023</v>
      </c>
      <c r="F509" s="78">
        <f t="shared" si="529"/>
        <v>170500</v>
      </c>
      <c r="G509" s="78">
        <f t="shared" si="529"/>
        <v>883523</v>
      </c>
      <c r="H509" s="78">
        <f t="shared" si="529"/>
        <v>0</v>
      </c>
      <c r="I509" s="78">
        <f t="shared" si="529"/>
        <v>883523</v>
      </c>
      <c r="J509" s="78">
        <f t="shared" si="529"/>
        <v>0</v>
      </c>
      <c r="K509" s="78">
        <f t="shared" si="529"/>
        <v>883523</v>
      </c>
      <c r="L509" s="78">
        <f t="shared" si="529"/>
        <v>3700</v>
      </c>
      <c r="M509" s="78">
        <f t="shared" si="529"/>
        <v>887223</v>
      </c>
      <c r="N509" s="78">
        <f t="shared" si="529"/>
        <v>0</v>
      </c>
      <c r="O509" s="78">
        <f t="shared" si="529"/>
        <v>887223</v>
      </c>
      <c r="P509" s="78">
        <f t="shared" si="529"/>
        <v>0</v>
      </c>
      <c r="Q509" s="78">
        <f t="shared" si="529"/>
        <v>887223</v>
      </c>
      <c r="R509" s="78">
        <f t="shared" si="529"/>
        <v>0</v>
      </c>
      <c r="S509" s="78">
        <f t="shared" si="529"/>
        <v>887223</v>
      </c>
      <c r="T509" s="78">
        <f t="shared" si="529"/>
        <v>0</v>
      </c>
      <c r="U509" s="78">
        <f t="shared" si="529"/>
        <v>887223</v>
      </c>
      <c r="V509" s="78">
        <f t="shared" si="529"/>
        <v>0</v>
      </c>
      <c r="W509" s="78">
        <f t="shared" si="529"/>
        <v>887223</v>
      </c>
      <c r="X509" s="78">
        <f aca="true" t="shared" si="530" ref="X509:AC509">SUM(X510:X515)</f>
        <v>0</v>
      </c>
      <c r="Y509" s="78">
        <f t="shared" si="530"/>
        <v>887223</v>
      </c>
      <c r="Z509" s="78">
        <f t="shared" si="530"/>
        <v>0</v>
      </c>
      <c r="AA509" s="78">
        <f t="shared" si="530"/>
        <v>887223</v>
      </c>
      <c r="AB509" s="78">
        <f t="shared" si="530"/>
        <v>0</v>
      </c>
      <c r="AC509" s="78">
        <f t="shared" si="530"/>
        <v>887223</v>
      </c>
      <c r="AD509" s="78">
        <f aca="true" t="shared" si="531" ref="AD509:AI509">SUM(AD510:AD515)</f>
        <v>-54442</v>
      </c>
      <c r="AE509" s="78">
        <f t="shared" si="531"/>
        <v>832781</v>
      </c>
      <c r="AF509" s="78">
        <f t="shared" si="531"/>
        <v>0</v>
      </c>
      <c r="AG509" s="78">
        <f t="shared" si="531"/>
        <v>832781</v>
      </c>
      <c r="AH509" s="78">
        <f t="shared" si="531"/>
        <v>0</v>
      </c>
      <c r="AI509" s="78">
        <f t="shared" si="531"/>
        <v>832781</v>
      </c>
      <c r="AJ509" s="78">
        <f>SUM(AJ510:AJ515)</f>
        <v>8719</v>
      </c>
      <c r="AK509" s="78">
        <f>SUM(AK510:AK515)</f>
        <v>841500</v>
      </c>
      <c r="AL509" s="78">
        <f>SUM(AL510:AL515)</f>
        <v>0</v>
      </c>
      <c r="AM509" s="78">
        <f>SUM(AM510:AM515)</f>
        <v>841500</v>
      </c>
    </row>
    <row r="510" spans="1:39" s="23" customFormat="1" ht="27" customHeight="1">
      <c r="A510" s="64"/>
      <c r="B510" s="79"/>
      <c r="C510" s="83">
        <v>2480</v>
      </c>
      <c r="D510" s="37" t="s">
        <v>186</v>
      </c>
      <c r="E510" s="78">
        <v>632800</v>
      </c>
      <c r="F510" s="78">
        <f>-62000-11000+6000+187500</f>
        <v>120500</v>
      </c>
      <c r="G510" s="78">
        <f aca="true" t="shared" si="532" ref="G510:G515">SUM(E510:F510)</f>
        <v>753300</v>
      </c>
      <c r="H510" s="78"/>
      <c r="I510" s="78">
        <f aca="true" t="shared" si="533" ref="I510:I515">SUM(G510:H510)</f>
        <v>753300</v>
      </c>
      <c r="J510" s="78"/>
      <c r="K510" s="78">
        <f aca="true" t="shared" si="534" ref="K510:K515">SUM(I510:J510)</f>
        <v>753300</v>
      </c>
      <c r="L510" s="78">
        <f>1000+3500</f>
        <v>4500</v>
      </c>
      <c r="M510" s="78">
        <f aca="true" t="shared" si="535" ref="M510:M515">SUM(K510:L510)</f>
        <v>757800</v>
      </c>
      <c r="N510" s="78"/>
      <c r="O510" s="78">
        <f aca="true" t="shared" si="536" ref="O510:O515">SUM(M510:N510)</f>
        <v>757800</v>
      </c>
      <c r="P510" s="78"/>
      <c r="Q510" s="78">
        <f aca="true" t="shared" si="537" ref="Q510:Q515">SUM(O510:P510)</f>
        <v>757800</v>
      </c>
      <c r="R510" s="78"/>
      <c r="S510" s="78">
        <f aca="true" t="shared" si="538" ref="S510:S515">SUM(Q510:R510)</f>
        <v>757800</v>
      </c>
      <c r="T510" s="78"/>
      <c r="U510" s="78">
        <f aca="true" t="shared" si="539" ref="U510:U515">SUM(S510:T510)</f>
        <v>757800</v>
      </c>
      <c r="V510" s="78"/>
      <c r="W510" s="78">
        <f aca="true" t="shared" si="540" ref="W510:W515">SUM(U510:V510)</f>
        <v>757800</v>
      </c>
      <c r="X510" s="78"/>
      <c r="Y510" s="78">
        <f aca="true" t="shared" si="541" ref="Y510:Y515">SUM(W510:X510)</f>
        <v>757800</v>
      </c>
      <c r="Z510" s="78"/>
      <c r="AA510" s="78">
        <f aca="true" t="shared" si="542" ref="AA510:AA515">SUM(Y510:Z510)</f>
        <v>757800</v>
      </c>
      <c r="AB510" s="78"/>
      <c r="AC510" s="78">
        <f aca="true" t="shared" si="543" ref="AC510:AC515">SUM(AA510:AB510)</f>
        <v>757800</v>
      </c>
      <c r="AD510" s="78">
        <v>-60000</v>
      </c>
      <c r="AE510" s="78">
        <f aca="true" t="shared" si="544" ref="AE510:AE515">SUM(AC510:AD510)</f>
        <v>697800</v>
      </c>
      <c r="AF510" s="78"/>
      <c r="AG510" s="78">
        <f aca="true" t="shared" si="545" ref="AG510:AG515">SUM(AE510:AF510)</f>
        <v>697800</v>
      </c>
      <c r="AH510" s="78"/>
      <c r="AI510" s="78">
        <f aca="true" t="shared" si="546" ref="AI510:AI515">SUM(AG510:AH510)</f>
        <v>697800</v>
      </c>
      <c r="AJ510" s="78"/>
      <c r="AK510" s="78">
        <f aca="true" t="shared" si="547" ref="AK510:AK515">SUM(AI510:AJ510)</f>
        <v>697800</v>
      </c>
      <c r="AL510" s="78"/>
      <c r="AM510" s="78">
        <f aca="true" t="shared" si="548" ref="AM510:AM515">SUM(AK510:AL510)</f>
        <v>697800</v>
      </c>
    </row>
    <row r="511" spans="1:39" s="23" customFormat="1" ht="21" customHeight="1">
      <c r="A511" s="64"/>
      <c r="B511" s="79"/>
      <c r="C511" s="64">
        <v>4210</v>
      </c>
      <c r="D511" s="37" t="s">
        <v>91</v>
      </c>
      <c r="E511" s="78">
        <f>26426+6061</f>
        <v>32487</v>
      </c>
      <c r="F511" s="78"/>
      <c r="G511" s="78">
        <f t="shared" si="532"/>
        <v>32487</v>
      </c>
      <c r="H511" s="78"/>
      <c r="I511" s="78">
        <f t="shared" si="533"/>
        <v>32487</v>
      </c>
      <c r="J511" s="78"/>
      <c r="K511" s="78">
        <f t="shared" si="534"/>
        <v>32487</v>
      </c>
      <c r="L511" s="78"/>
      <c r="M511" s="78">
        <f t="shared" si="535"/>
        <v>32487</v>
      </c>
      <c r="N511" s="78"/>
      <c r="O511" s="78">
        <f t="shared" si="536"/>
        <v>32487</v>
      </c>
      <c r="P511" s="78"/>
      <c r="Q511" s="78">
        <f t="shared" si="537"/>
        <v>32487</v>
      </c>
      <c r="R511" s="78"/>
      <c r="S511" s="78">
        <f t="shared" si="538"/>
        <v>32487</v>
      </c>
      <c r="T511" s="78"/>
      <c r="U511" s="78">
        <f t="shared" si="539"/>
        <v>32487</v>
      </c>
      <c r="V511" s="78"/>
      <c r="W511" s="78">
        <f t="shared" si="540"/>
        <v>32487</v>
      </c>
      <c r="X511" s="78"/>
      <c r="Y511" s="78">
        <f t="shared" si="541"/>
        <v>32487</v>
      </c>
      <c r="Z511" s="78"/>
      <c r="AA511" s="78">
        <f t="shared" si="542"/>
        <v>32487</v>
      </c>
      <c r="AB511" s="78"/>
      <c r="AC511" s="78">
        <f t="shared" si="543"/>
        <v>32487</v>
      </c>
      <c r="AD511" s="78">
        <f>-200+500</f>
        <v>300</v>
      </c>
      <c r="AE511" s="78">
        <f t="shared" si="544"/>
        <v>32787</v>
      </c>
      <c r="AF511" s="78"/>
      <c r="AG511" s="78">
        <f t="shared" si="545"/>
        <v>32787</v>
      </c>
      <c r="AH511" s="78"/>
      <c r="AI511" s="78">
        <f t="shared" si="546"/>
        <v>32787</v>
      </c>
      <c r="AJ511" s="78">
        <v>153</v>
      </c>
      <c r="AK511" s="78">
        <f t="shared" si="547"/>
        <v>32940</v>
      </c>
      <c r="AL511" s="78"/>
      <c r="AM511" s="78">
        <f t="shared" si="548"/>
        <v>32940</v>
      </c>
    </row>
    <row r="512" spans="1:39" s="23" customFormat="1" ht="21" customHeight="1">
      <c r="A512" s="64"/>
      <c r="B512" s="79"/>
      <c r="C512" s="64">
        <v>4260</v>
      </c>
      <c r="D512" s="37" t="s">
        <v>94</v>
      </c>
      <c r="E512" s="78">
        <v>15466</v>
      </c>
      <c r="F512" s="78"/>
      <c r="G512" s="78">
        <f t="shared" si="532"/>
        <v>15466</v>
      </c>
      <c r="H512" s="78"/>
      <c r="I512" s="78">
        <f t="shared" si="533"/>
        <v>15466</v>
      </c>
      <c r="J512" s="78"/>
      <c r="K512" s="78">
        <f t="shared" si="534"/>
        <v>15466</v>
      </c>
      <c r="L512" s="78">
        <v>-800</v>
      </c>
      <c r="M512" s="78">
        <f t="shared" si="535"/>
        <v>14666</v>
      </c>
      <c r="N512" s="78"/>
      <c r="O512" s="78">
        <f t="shared" si="536"/>
        <v>14666</v>
      </c>
      <c r="P512" s="78"/>
      <c r="Q512" s="78">
        <f t="shared" si="537"/>
        <v>14666</v>
      </c>
      <c r="R512" s="78"/>
      <c r="S512" s="78">
        <f t="shared" si="538"/>
        <v>14666</v>
      </c>
      <c r="T512" s="78"/>
      <c r="U512" s="78">
        <f t="shared" si="539"/>
        <v>14666</v>
      </c>
      <c r="V512" s="78"/>
      <c r="W512" s="78">
        <f t="shared" si="540"/>
        <v>14666</v>
      </c>
      <c r="X512" s="78"/>
      <c r="Y512" s="78">
        <f t="shared" si="541"/>
        <v>14666</v>
      </c>
      <c r="Z512" s="78"/>
      <c r="AA512" s="78">
        <f t="shared" si="542"/>
        <v>14666</v>
      </c>
      <c r="AB512" s="78"/>
      <c r="AC512" s="78">
        <f t="shared" si="543"/>
        <v>14666</v>
      </c>
      <c r="AD512" s="78"/>
      <c r="AE512" s="78">
        <f t="shared" si="544"/>
        <v>14666</v>
      </c>
      <c r="AF512" s="78"/>
      <c r="AG512" s="78">
        <f t="shared" si="545"/>
        <v>14666</v>
      </c>
      <c r="AH512" s="78"/>
      <c r="AI512" s="78">
        <f t="shared" si="546"/>
        <v>14666</v>
      </c>
      <c r="AJ512" s="78">
        <v>3466</v>
      </c>
      <c r="AK512" s="78">
        <f t="shared" si="547"/>
        <v>18132</v>
      </c>
      <c r="AL512" s="78"/>
      <c r="AM512" s="78">
        <f t="shared" si="548"/>
        <v>18132</v>
      </c>
    </row>
    <row r="513" spans="1:39" s="23" customFormat="1" ht="21" customHeight="1">
      <c r="A513" s="64"/>
      <c r="B513" s="79"/>
      <c r="C513" s="64">
        <v>4270</v>
      </c>
      <c r="D513" s="37" t="s">
        <v>77</v>
      </c>
      <c r="E513" s="78">
        <f>29250+1100</f>
        <v>30350</v>
      </c>
      <c r="F513" s="78">
        <f>20000+30000</f>
        <v>50000</v>
      </c>
      <c r="G513" s="78">
        <f t="shared" si="532"/>
        <v>80350</v>
      </c>
      <c r="H513" s="78"/>
      <c r="I513" s="78">
        <f t="shared" si="533"/>
        <v>80350</v>
      </c>
      <c r="J513" s="78"/>
      <c r="K513" s="78">
        <f t="shared" si="534"/>
        <v>80350</v>
      </c>
      <c r="L513" s="78"/>
      <c r="M513" s="78">
        <f t="shared" si="535"/>
        <v>80350</v>
      </c>
      <c r="N513" s="78"/>
      <c r="O513" s="78">
        <f t="shared" si="536"/>
        <v>80350</v>
      </c>
      <c r="P513" s="78"/>
      <c r="Q513" s="78">
        <f t="shared" si="537"/>
        <v>80350</v>
      </c>
      <c r="R513" s="78"/>
      <c r="S513" s="78">
        <f t="shared" si="538"/>
        <v>80350</v>
      </c>
      <c r="T513" s="78"/>
      <c r="U513" s="78">
        <f t="shared" si="539"/>
        <v>80350</v>
      </c>
      <c r="V513" s="78"/>
      <c r="W513" s="78">
        <f t="shared" si="540"/>
        <v>80350</v>
      </c>
      <c r="X513" s="78"/>
      <c r="Y513" s="78">
        <f t="shared" si="541"/>
        <v>80350</v>
      </c>
      <c r="Z513" s="78"/>
      <c r="AA513" s="78">
        <f t="shared" si="542"/>
        <v>80350</v>
      </c>
      <c r="AB513" s="78"/>
      <c r="AC513" s="78">
        <f t="shared" si="543"/>
        <v>80350</v>
      </c>
      <c r="AD513" s="78">
        <f>-500+4500</f>
        <v>4000</v>
      </c>
      <c r="AE513" s="78">
        <f t="shared" si="544"/>
        <v>84350</v>
      </c>
      <c r="AF513" s="78"/>
      <c r="AG513" s="78">
        <f t="shared" si="545"/>
        <v>84350</v>
      </c>
      <c r="AH513" s="78">
        <v>1258</v>
      </c>
      <c r="AI513" s="78">
        <f t="shared" si="546"/>
        <v>85608</v>
      </c>
      <c r="AJ513" s="78"/>
      <c r="AK513" s="78">
        <f t="shared" si="547"/>
        <v>85608</v>
      </c>
      <c r="AL513" s="78"/>
      <c r="AM513" s="78">
        <f t="shared" si="548"/>
        <v>85608</v>
      </c>
    </row>
    <row r="514" spans="1:39" s="23" customFormat="1" ht="21" customHeight="1">
      <c r="A514" s="64"/>
      <c r="B514" s="79"/>
      <c r="C514" s="83">
        <v>4300</v>
      </c>
      <c r="D514" s="86" t="s">
        <v>78</v>
      </c>
      <c r="E514" s="78">
        <v>230</v>
      </c>
      <c r="F514" s="78"/>
      <c r="G514" s="78">
        <f t="shared" si="532"/>
        <v>230</v>
      </c>
      <c r="H514" s="78"/>
      <c r="I514" s="78">
        <f t="shared" si="533"/>
        <v>230</v>
      </c>
      <c r="J514" s="78"/>
      <c r="K514" s="78">
        <f t="shared" si="534"/>
        <v>230</v>
      </c>
      <c r="L514" s="78"/>
      <c r="M514" s="78">
        <f t="shared" si="535"/>
        <v>230</v>
      </c>
      <c r="N514" s="78"/>
      <c r="O514" s="78">
        <f t="shared" si="536"/>
        <v>230</v>
      </c>
      <c r="P514" s="78"/>
      <c r="Q514" s="78">
        <f t="shared" si="537"/>
        <v>230</v>
      </c>
      <c r="R514" s="78"/>
      <c r="S514" s="78">
        <f t="shared" si="538"/>
        <v>230</v>
      </c>
      <c r="T514" s="78"/>
      <c r="U514" s="78">
        <f t="shared" si="539"/>
        <v>230</v>
      </c>
      <c r="V514" s="78"/>
      <c r="W514" s="78">
        <f t="shared" si="540"/>
        <v>230</v>
      </c>
      <c r="X514" s="78"/>
      <c r="Y514" s="78">
        <f t="shared" si="541"/>
        <v>230</v>
      </c>
      <c r="Z514" s="78"/>
      <c r="AA514" s="78">
        <f t="shared" si="542"/>
        <v>230</v>
      </c>
      <c r="AB514" s="78"/>
      <c r="AC514" s="78">
        <f t="shared" si="543"/>
        <v>230</v>
      </c>
      <c r="AD514" s="78">
        <v>1258</v>
      </c>
      <c r="AE514" s="78">
        <f t="shared" si="544"/>
        <v>1488</v>
      </c>
      <c r="AF514" s="78"/>
      <c r="AG514" s="78">
        <f t="shared" si="545"/>
        <v>1488</v>
      </c>
      <c r="AH514" s="78">
        <v>-1258</v>
      </c>
      <c r="AI514" s="78">
        <f t="shared" si="546"/>
        <v>230</v>
      </c>
      <c r="AJ514" s="78"/>
      <c r="AK514" s="78">
        <f t="shared" si="547"/>
        <v>230</v>
      </c>
      <c r="AL514" s="78"/>
      <c r="AM514" s="78">
        <f t="shared" si="548"/>
        <v>230</v>
      </c>
    </row>
    <row r="515" spans="1:39" s="23" customFormat="1" ht="21" customHeight="1">
      <c r="A515" s="64"/>
      <c r="B515" s="79"/>
      <c r="C515" s="83">
        <v>4430</v>
      </c>
      <c r="D515" s="86" t="s">
        <v>93</v>
      </c>
      <c r="E515" s="78">
        <v>1690</v>
      </c>
      <c r="F515" s="78"/>
      <c r="G515" s="78">
        <f t="shared" si="532"/>
        <v>1690</v>
      </c>
      <c r="H515" s="78"/>
      <c r="I515" s="78">
        <f t="shared" si="533"/>
        <v>1690</v>
      </c>
      <c r="J515" s="78"/>
      <c r="K515" s="78">
        <f t="shared" si="534"/>
        <v>1690</v>
      </c>
      <c r="L515" s="78"/>
      <c r="M515" s="78">
        <f t="shared" si="535"/>
        <v>1690</v>
      </c>
      <c r="N515" s="78"/>
      <c r="O515" s="78">
        <f t="shared" si="536"/>
        <v>1690</v>
      </c>
      <c r="P515" s="78"/>
      <c r="Q515" s="78">
        <f t="shared" si="537"/>
        <v>1690</v>
      </c>
      <c r="R515" s="78"/>
      <c r="S515" s="78">
        <f t="shared" si="538"/>
        <v>1690</v>
      </c>
      <c r="T515" s="78"/>
      <c r="U515" s="78">
        <f t="shared" si="539"/>
        <v>1690</v>
      </c>
      <c r="V515" s="78"/>
      <c r="W515" s="78">
        <f t="shared" si="540"/>
        <v>1690</v>
      </c>
      <c r="X515" s="78"/>
      <c r="Y515" s="78">
        <f t="shared" si="541"/>
        <v>1690</v>
      </c>
      <c r="Z515" s="78"/>
      <c r="AA515" s="78">
        <f t="shared" si="542"/>
        <v>1690</v>
      </c>
      <c r="AB515" s="78"/>
      <c r="AC515" s="78">
        <f t="shared" si="543"/>
        <v>1690</v>
      </c>
      <c r="AD515" s="78"/>
      <c r="AE515" s="78">
        <f t="shared" si="544"/>
        <v>1690</v>
      </c>
      <c r="AF515" s="78"/>
      <c r="AG515" s="78">
        <f t="shared" si="545"/>
        <v>1690</v>
      </c>
      <c r="AH515" s="78"/>
      <c r="AI515" s="78">
        <f t="shared" si="546"/>
        <v>1690</v>
      </c>
      <c r="AJ515" s="78">
        <v>5100</v>
      </c>
      <c r="AK515" s="78">
        <f t="shared" si="547"/>
        <v>6790</v>
      </c>
      <c r="AL515" s="78"/>
      <c r="AM515" s="78">
        <f t="shared" si="548"/>
        <v>6790</v>
      </c>
    </row>
    <row r="516" spans="1:39" s="23" customFormat="1" ht="21" customHeight="1">
      <c r="A516" s="64"/>
      <c r="B516" s="79" t="s">
        <v>63</v>
      </c>
      <c r="C516" s="83"/>
      <c r="D516" s="37" t="s">
        <v>64</v>
      </c>
      <c r="E516" s="78">
        <f aca="true" t="shared" si="549" ref="E516:AM516">E517</f>
        <v>1180352</v>
      </c>
      <c r="F516" s="78">
        <f t="shared" si="549"/>
        <v>0</v>
      </c>
      <c r="G516" s="78">
        <f t="shared" si="549"/>
        <v>1180352</v>
      </c>
      <c r="H516" s="78">
        <f t="shared" si="549"/>
        <v>0</v>
      </c>
      <c r="I516" s="78">
        <f t="shared" si="549"/>
        <v>1180352</v>
      </c>
      <c r="J516" s="78">
        <f t="shared" si="549"/>
        <v>0</v>
      </c>
      <c r="K516" s="78">
        <f t="shared" si="549"/>
        <v>1180352</v>
      </c>
      <c r="L516" s="78">
        <f t="shared" si="549"/>
        <v>1000</v>
      </c>
      <c r="M516" s="78">
        <f t="shared" si="549"/>
        <v>1181352</v>
      </c>
      <c r="N516" s="78">
        <f t="shared" si="549"/>
        <v>0</v>
      </c>
      <c r="O516" s="78">
        <f t="shared" si="549"/>
        <v>1181352</v>
      </c>
      <c r="P516" s="78">
        <f t="shared" si="549"/>
        <v>0</v>
      </c>
      <c r="Q516" s="78">
        <f t="shared" si="549"/>
        <v>1181352</v>
      </c>
      <c r="R516" s="78">
        <f t="shared" si="549"/>
        <v>0</v>
      </c>
      <c r="S516" s="78">
        <f t="shared" si="549"/>
        <v>1181352</v>
      </c>
      <c r="T516" s="78">
        <f t="shared" si="549"/>
        <v>0</v>
      </c>
      <c r="U516" s="78">
        <f t="shared" si="549"/>
        <v>1181352</v>
      </c>
      <c r="V516" s="78">
        <f t="shared" si="549"/>
        <v>0</v>
      </c>
      <c r="W516" s="78">
        <f t="shared" si="549"/>
        <v>1181352</v>
      </c>
      <c r="X516" s="78">
        <f t="shared" si="549"/>
        <v>0</v>
      </c>
      <c r="Y516" s="78">
        <f t="shared" si="549"/>
        <v>1181352</v>
      </c>
      <c r="Z516" s="78">
        <f t="shared" si="549"/>
        <v>0</v>
      </c>
      <c r="AA516" s="78">
        <f t="shared" si="549"/>
        <v>1181352</v>
      </c>
      <c r="AB516" s="78">
        <f t="shared" si="549"/>
        <v>0</v>
      </c>
      <c r="AC516" s="78">
        <f t="shared" si="549"/>
        <v>1181352</v>
      </c>
      <c r="AD516" s="78">
        <f t="shared" si="549"/>
        <v>0</v>
      </c>
      <c r="AE516" s="78">
        <f t="shared" si="549"/>
        <v>1181352</v>
      </c>
      <c r="AF516" s="78">
        <f t="shared" si="549"/>
        <v>0</v>
      </c>
      <c r="AG516" s="78">
        <f t="shared" si="549"/>
        <v>1181352</v>
      </c>
      <c r="AH516" s="78">
        <f t="shared" si="549"/>
        <v>0</v>
      </c>
      <c r="AI516" s="78">
        <f t="shared" si="549"/>
        <v>1181352</v>
      </c>
      <c r="AJ516" s="78">
        <f t="shared" si="549"/>
        <v>0</v>
      </c>
      <c r="AK516" s="78">
        <f t="shared" si="549"/>
        <v>1181352</v>
      </c>
      <c r="AL516" s="78">
        <f t="shared" si="549"/>
        <v>0</v>
      </c>
      <c r="AM516" s="78">
        <f t="shared" si="549"/>
        <v>1181352</v>
      </c>
    </row>
    <row r="517" spans="1:39" s="23" customFormat="1" ht="22.5">
      <c r="A517" s="64"/>
      <c r="B517" s="79"/>
      <c r="C517" s="83">
        <v>2480</v>
      </c>
      <c r="D517" s="37" t="s">
        <v>186</v>
      </c>
      <c r="E517" s="78">
        <f>60000+1120352</f>
        <v>1180352</v>
      </c>
      <c r="F517" s="78"/>
      <c r="G517" s="78">
        <f>SUM(E517:F517)</f>
        <v>1180352</v>
      </c>
      <c r="H517" s="78"/>
      <c r="I517" s="78">
        <f>SUM(G517:H517)</f>
        <v>1180352</v>
      </c>
      <c r="J517" s="78"/>
      <c r="K517" s="78">
        <f>SUM(I517:J517)</f>
        <v>1180352</v>
      </c>
      <c r="L517" s="78">
        <v>1000</v>
      </c>
      <c r="M517" s="78">
        <f>SUM(K517:L517)</f>
        <v>1181352</v>
      </c>
      <c r="N517" s="78"/>
      <c r="O517" s="78">
        <f>SUM(M517:N517)</f>
        <v>1181352</v>
      </c>
      <c r="P517" s="78"/>
      <c r="Q517" s="78">
        <f>SUM(O517:P517)</f>
        <v>1181352</v>
      </c>
      <c r="R517" s="78"/>
      <c r="S517" s="78">
        <f>SUM(Q517:R517)</f>
        <v>1181352</v>
      </c>
      <c r="T517" s="78"/>
      <c r="U517" s="78">
        <f>SUM(S517:T517)</f>
        <v>1181352</v>
      </c>
      <c r="V517" s="78"/>
      <c r="W517" s="78">
        <f>SUM(U517:V517)</f>
        <v>1181352</v>
      </c>
      <c r="X517" s="78"/>
      <c r="Y517" s="78">
        <f>SUM(W517:X517)</f>
        <v>1181352</v>
      </c>
      <c r="Z517" s="78"/>
      <c r="AA517" s="78">
        <f>SUM(Y517:Z517)</f>
        <v>1181352</v>
      </c>
      <c r="AB517" s="78"/>
      <c r="AC517" s="78">
        <f>SUM(AA517:AB517)</f>
        <v>1181352</v>
      </c>
      <c r="AD517" s="78"/>
      <c r="AE517" s="78">
        <f>SUM(AC517:AD517)</f>
        <v>1181352</v>
      </c>
      <c r="AF517" s="78"/>
      <c r="AG517" s="78">
        <f>SUM(AE517:AF517)</f>
        <v>1181352</v>
      </c>
      <c r="AH517" s="78"/>
      <c r="AI517" s="78">
        <f>SUM(AG517:AH517)</f>
        <v>1181352</v>
      </c>
      <c r="AJ517" s="78"/>
      <c r="AK517" s="78">
        <f>SUM(AI517:AJ517)</f>
        <v>1181352</v>
      </c>
      <c r="AL517" s="78"/>
      <c r="AM517" s="78">
        <f>SUM(AK517:AL517)</f>
        <v>1181352</v>
      </c>
    </row>
    <row r="518" spans="1:39" s="23" customFormat="1" ht="21" customHeight="1">
      <c r="A518" s="64"/>
      <c r="B518" s="79" t="s">
        <v>138</v>
      </c>
      <c r="C518" s="83"/>
      <c r="D518" s="37" t="s">
        <v>139</v>
      </c>
      <c r="E518" s="78">
        <f aca="true" t="shared" si="550" ref="E518:AM518">E519</f>
        <v>650000</v>
      </c>
      <c r="F518" s="78">
        <f t="shared" si="550"/>
        <v>0</v>
      </c>
      <c r="G518" s="78">
        <f t="shared" si="550"/>
        <v>650000</v>
      </c>
      <c r="H518" s="78">
        <f t="shared" si="550"/>
        <v>0</v>
      </c>
      <c r="I518" s="78">
        <f t="shared" si="550"/>
        <v>650000</v>
      </c>
      <c r="J518" s="78">
        <f t="shared" si="550"/>
        <v>0</v>
      </c>
      <c r="K518" s="78">
        <f t="shared" si="550"/>
        <v>650000</v>
      </c>
      <c r="L518" s="78">
        <f t="shared" si="550"/>
        <v>4000</v>
      </c>
      <c r="M518" s="78">
        <f t="shared" si="550"/>
        <v>654000</v>
      </c>
      <c r="N518" s="78">
        <f t="shared" si="550"/>
        <v>0</v>
      </c>
      <c r="O518" s="78">
        <f t="shared" si="550"/>
        <v>654000</v>
      </c>
      <c r="P518" s="78">
        <f t="shared" si="550"/>
        <v>0</v>
      </c>
      <c r="Q518" s="78">
        <f t="shared" si="550"/>
        <v>654000</v>
      </c>
      <c r="R518" s="78">
        <f t="shared" si="550"/>
        <v>0</v>
      </c>
      <c r="S518" s="78">
        <f t="shared" si="550"/>
        <v>654000</v>
      </c>
      <c r="T518" s="78">
        <f t="shared" si="550"/>
        <v>0</v>
      </c>
      <c r="U518" s="78">
        <f t="shared" si="550"/>
        <v>654000</v>
      </c>
      <c r="V518" s="78">
        <f t="shared" si="550"/>
        <v>0</v>
      </c>
      <c r="W518" s="78">
        <f t="shared" si="550"/>
        <v>654000</v>
      </c>
      <c r="X518" s="78">
        <f t="shared" si="550"/>
        <v>0</v>
      </c>
      <c r="Y518" s="78">
        <f t="shared" si="550"/>
        <v>654000</v>
      </c>
      <c r="Z518" s="78">
        <f t="shared" si="550"/>
        <v>0</v>
      </c>
      <c r="AA518" s="78">
        <f t="shared" si="550"/>
        <v>654000</v>
      </c>
      <c r="AB518" s="78">
        <f t="shared" si="550"/>
        <v>0</v>
      </c>
      <c r="AC518" s="78">
        <f t="shared" si="550"/>
        <v>654000</v>
      </c>
      <c r="AD518" s="78">
        <f t="shared" si="550"/>
        <v>0</v>
      </c>
      <c r="AE518" s="78">
        <f t="shared" si="550"/>
        <v>654000</v>
      </c>
      <c r="AF518" s="78">
        <f t="shared" si="550"/>
        <v>0</v>
      </c>
      <c r="AG518" s="78">
        <f t="shared" si="550"/>
        <v>654000</v>
      </c>
      <c r="AH518" s="78">
        <f t="shared" si="550"/>
        <v>0</v>
      </c>
      <c r="AI518" s="78">
        <f t="shared" si="550"/>
        <v>654000</v>
      </c>
      <c r="AJ518" s="78">
        <f t="shared" si="550"/>
        <v>0</v>
      </c>
      <c r="AK518" s="78">
        <f t="shared" si="550"/>
        <v>654000</v>
      </c>
      <c r="AL518" s="78">
        <f t="shared" si="550"/>
        <v>0</v>
      </c>
      <c r="AM518" s="78">
        <f t="shared" si="550"/>
        <v>654000</v>
      </c>
    </row>
    <row r="519" spans="1:39" s="23" customFormat="1" ht="22.5">
      <c r="A519" s="64"/>
      <c r="B519" s="79"/>
      <c r="C519" s="83">
        <v>2480</v>
      </c>
      <c r="D519" s="37" t="s">
        <v>186</v>
      </c>
      <c r="E519" s="78">
        <v>650000</v>
      </c>
      <c r="F519" s="78"/>
      <c r="G519" s="78">
        <f>SUM(E519:F519)</f>
        <v>650000</v>
      </c>
      <c r="H519" s="78"/>
      <c r="I519" s="78">
        <f>SUM(G519:H519)</f>
        <v>650000</v>
      </c>
      <c r="J519" s="78"/>
      <c r="K519" s="78">
        <f>SUM(I519:J519)</f>
        <v>650000</v>
      </c>
      <c r="L519" s="78">
        <f>2000+1000+1000</f>
        <v>4000</v>
      </c>
      <c r="M519" s="78">
        <f>SUM(K519:L519)</f>
        <v>654000</v>
      </c>
      <c r="N519" s="78"/>
      <c r="O519" s="78">
        <f>SUM(M519:N519)</f>
        <v>654000</v>
      </c>
      <c r="P519" s="78"/>
      <c r="Q519" s="78">
        <f>SUM(O519:P519)</f>
        <v>654000</v>
      </c>
      <c r="R519" s="78"/>
      <c r="S519" s="78">
        <f>SUM(Q519:R519)</f>
        <v>654000</v>
      </c>
      <c r="T519" s="78"/>
      <c r="U519" s="78">
        <f>SUM(S519:T519)</f>
        <v>654000</v>
      </c>
      <c r="V519" s="78"/>
      <c r="W519" s="78">
        <f>SUM(U519:V519)</f>
        <v>654000</v>
      </c>
      <c r="X519" s="78"/>
      <c r="Y519" s="78">
        <f>SUM(W519:X519)</f>
        <v>654000</v>
      </c>
      <c r="Z519" s="78"/>
      <c r="AA519" s="78">
        <f>SUM(Y519:Z519)</f>
        <v>654000</v>
      </c>
      <c r="AB519" s="78"/>
      <c r="AC519" s="78">
        <f>SUM(AA519:AB519)</f>
        <v>654000</v>
      </c>
      <c r="AD519" s="78"/>
      <c r="AE519" s="78">
        <f>SUM(AC519:AD519)</f>
        <v>654000</v>
      </c>
      <c r="AF519" s="78"/>
      <c r="AG519" s="78">
        <f>SUM(AE519:AF519)</f>
        <v>654000</v>
      </c>
      <c r="AH519" s="78"/>
      <c r="AI519" s="78">
        <f>SUM(AG519:AH519)</f>
        <v>654000</v>
      </c>
      <c r="AJ519" s="78"/>
      <c r="AK519" s="78">
        <f>SUM(AI519:AJ519)</f>
        <v>654000</v>
      </c>
      <c r="AL519" s="78"/>
      <c r="AM519" s="78">
        <f>SUM(AK519:AL519)</f>
        <v>654000</v>
      </c>
    </row>
    <row r="520" spans="1:39" s="23" customFormat="1" ht="21" customHeight="1">
      <c r="A520" s="64"/>
      <c r="B520" s="79">
        <v>92120</v>
      </c>
      <c r="C520" s="83"/>
      <c r="D520" s="37" t="s">
        <v>244</v>
      </c>
      <c r="E520" s="78">
        <f aca="true" t="shared" si="551" ref="E520:AM520">SUM(E521)</f>
        <v>7500</v>
      </c>
      <c r="F520" s="78">
        <f t="shared" si="551"/>
        <v>0</v>
      </c>
      <c r="G520" s="78">
        <f t="shared" si="551"/>
        <v>7500</v>
      </c>
      <c r="H520" s="78">
        <f t="shared" si="551"/>
        <v>0</v>
      </c>
      <c r="I520" s="78">
        <f t="shared" si="551"/>
        <v>7500</v>
      </c>
      <c r="J520" s="78">
        <f t="shared" si="551"/>
        <v>0</v>
      </c>
      <c r="K520" s="78">
        <f t="shared" si="551"/>
        <v>7500</v>
      </c>
      <c r="L520" s="78">
        <f t="shared" si="551"/>
        <v>0</v>
      </c>
      <c r="M520" s="78">
        <f t="shared" si="551"/>
        <v>7500</v>
      </c>
      <c r="N520" s="78">
        <f t="shared" si="551"/>
        <v>0</v>
      </c>
      <c r="O520" s="78">
        <f t="shared" si="551"/>
        <v>7500</v>
      </c>
      <c r="P520" s="78">
        <f t="shared" si="551"/>
        <v>0</v>
      </c>
      <c r="Q520" s="78">
        <f t="shared" si="551"/>
        <v>7500</v>
      </c>
      <c r="R520" s="78">
        <f t="shared" si="551"/>
        <v>0</v>
      </c>
      <c r="S520" s="78">
        <f t="shared" si="551"/>
        <v>7500</v>
      </c>
      <c r="T520" s="78">
        <f t="shared" si="551"/>
        <v>0</v>
      </c>
      <c r="U520" s="78">
        <f t="shared" si="551"/>
        <v>7500</v>
      </c>
      <c r="V520" s="78">
        <f t="shared" si="551"/>
        <v>0</v>
      </c>
      <c r="W520" s="78">
        <f t="shared" si="551"/>
        <v>7500</v>
      </c>
      <c r="X520" s="78">
        <f t="shared" si="551"/>
        <v>0</v>
      </c>
      <c r="Y520" s="78">
        <f t="shared" si="551"/>
        <v>7500</v>
      </c>
      <c r="Z520" s="78">
        <f t="shared" si="551"/>
        <v>0</v>
      </c>
      <c r="AA520" s="78">
        <f t="shared" si="551"/>
        <v>7500</v>
      </c>
      <c r="AB520" s="78">
        <f t="shared" si="551"/>
        <v>0</v>
      </c>
      <c r="AC520" s="78">
        <f t="shared" si="551"/>
        <v>7500</v>
      </c>
      <c r="AD520" s="78">
        <f t="shared" si="551"/>
        <v>0</v>
      </c>
      <c r="AE520" s="78">
        <f t="shared" si="551"/>
        <v>7500</v>
      </c>
      <c r="AF520" s="78">
        <f t="shared" si="551"/>
        <v>0</v>
      </c>
      <c r="AG520" s="78">
        <f t="shared" si="551"/>
        <v>7500</v>
      </c>
      <c r="AH520" s="78">
        <f t="shared" si="551"/>
        <v>0</v>
      </c>
      <c r="AI520" s="78">
        <f t="shared" si="551"/>
        <v>7500</v>
      </c>
      <c r="AJ520" s="78">
        <f t="shared" si="551"/>
        <v>0</v>
      </c>
      <c r="AK520" s="78">
        <f t="shared" si="551"/>
        <v>7500</v>
      </c>
      <c r="AL520" s="78">
        <f t="shared" si="551"/>
        <v>0</v>
      </c>
      <c r="AM520" s="78">
        <f t="shared" si="551"/>
        <v>7500</v>
      </c>
    </row>
    <row r="521" spans="1:39" s="23" customFormat="1" ht="56.25">
      <c r="A521" s="64"/>
      <c r="B521" s="79"/>
      <c r="C521" s="83">
        <v>2720</v>
      </c>
      <c r="D521" s="37" t="s">
        <v>245</v>
      </c>
      <c r="E521" s="78">
        <v>7500</v>
      </c>
      <c r="F521" s="78"/>
      <c r="G521" s="78">
        <f>SUM(E521:F521)</f>
        <v>7500</v>
      </c>
      <c r="H521" s="78"/>
      <c r="I521" s="78">
        <f>SUM(G521:H521)</f>
        <v>7500</v>
      </c>
      <c r="J521" s="78"/>
      <c r="K521" s="78">
        <f>SUM(I521:J521)</f>
        <v>7500</v>
      </c>
      <c r="L521" s="78"/>
      <c r="M521" s="78">
        <f>SUM(K521:L521)</f>
        <v>7500</v>
      </c>
      <c r="N521" s="78"/>
      <c r="O521" s="78">
        <f>SUM(M521:N521)</f>
        <v>7500</v>
      </c>
      <c r="P521" s="78"/>
      <c r="Q521" s="78">
        <f>SUM(O521:P521)</f>
        <v>7500</v>
      </c>
      <c r="R521" s="78"/>
      <c r="S521" s="78">
        <f>SUM(Q521:R521)</f>
        <v>7500</v>
      </c>
      <c r="T521" s="78"/>
      <c r="U521" s="78">
        <f>SUM(S521:T521)</f>
        <v>7500</v>
      </c>
      <c r="V521" s="78"/>
      <c r="W521" s="78">
        <f>SUM(U521:V521)</f>
        <v>7500</v>
      </c>
      <c r="X521" s="78"/>
      <c r="Y521" s="78">
        <f>SUM(W521:X521)</f>
        <v>7500</v>
      </c>
      <c r="Z521" s="78"/>
      <c r="AA521" s="78">
        <f>SUM(Y521:Z521)</f>
        <v>7500</v>
      </c>
      <c r="AB521" s="78"/>
      <c r="AC521" s="78">
        <f>SUM(AA521:AB521)</f>
        <v>7500</v>
      </c>
      <c r="AD521" s="78"/>
      <c r="AE521" s="78">
        <f>SUM(AC521:AD521)</f>
        <v>7500</v>
      </c>
      <c r="AF521" s="78"/>
      <c r="AG521" s="78">
        <f>SUM(AE521:AF521)</f>
        <v>7500</v>
      </c>
      <c r="AH521" s="78"/>
      <c r="AI521" s="78">
        <f>SUM(AG521:AH521)</f>
        <v>7500</v>
      </c>
      <c r="AJ521" s="78"/>
      <c r="AK521" s="78">
        <f>SUM(AI521:AJ521)</f>
        <v>7500</v>
      </c>
      <c r="AL521" s="78"/>
      <c r="AM521" s="78">
        <f>SUM(AK521:AL521)</f>
        <v>7500</v>
      </c>
    </row>
    <row r="522" spans="1:39" s="23" customFormat="1" ht="21" customHeight="1">
      <c r="A522" s="64"/>
      <c r="B522" s="79">
        <v>92195</v>
      </c>
      <c r="C522" s="83"/>
      <c r="D522" s="37" t="s">
        <v>6</v>
      </c>
      <c r="E522" s="78">
        <f aca="true" t="shared" si="552" ref="E522:W522">SUM(E523:E524)</f>
        <v>20080</v>
      </c>
      <c r="F522" s="78">
        <f t="shared" si="552"/>
        <v>0</v>
      </c>
      <c r="G522" s="78">
        <f t="shared" si="552"/>
        <v>20080</v>
      </c>
      <c r="H522" s="78">
        <f t="shared" si="552"/>
        <v>0</v>
      </c>
      <c r="I522" s="78">
        <f t="shared" si="552"/>
        <v>20080</v>
      </c>
      <c r="J522" s="78">
        <f t="shared" si="552"/>
        <v>0</v>
      </c>
      <c r="K522" s="78">
        <f t="shared" si="552"/>
        <v>20080</v>
      </c>
      <c r="L522" s="78">
        <f t="shared" si="552"/>
        <v>0</v>
      </c>
      <c r="M522" s="78">
        <f t="shared" si="552"/>
        <v>20080</v>
      </c>
      <c r="N522" s="78">
        <f t="shared" si="552"/>
        <v>0</v>
      </c>
      <c r="O522" s="78">
        <f t="shared" si="552"/>
        <v>20080</v>
      </c>
      <c r="P522" s="78">
        <f t="shared" si="552"/>
        <v>0</v>
      </c>
      <c r="Q522" s="78">
        <f t="shared" si="552"/>
        <v>20080</v>
      </c>
      <c r="R522" s="78">
        <f t="shared" si="552"/>
        <v>0</v>
      </c>
      <c r="S522" s="78">
        <f t="shared" si="552"/>
        <v>20080</v>
      </c>
      <c r="T522" s="78">
        <f t="shared" si="552"/>
        <v>0</v>
      </c>
      <c r="U522" s="78">
        <f t="shared" si="552"/>
        <v>20080</v>
      </c>
      <c r="V522" s="78">
        <f t="shared" si="552"/>
        <v>0</v>
      </c>
      <c r="W522" s="78">
        <f t="shared" si="552"/>
        <v>20080</v>
      </c>
      <c r="X522" s="78">
        <f aca="true" t="shared" si="553" ref="X522:AC522">SUM(X523:X524)</f>
        <v>0</v>
      </c>
      <c r="Y522" s="78">
        <f t="shared" si="553"/>
        <v>20080</v>
      </c>
      <c r="Z522" s="78">
        <f t="shared" si="553"/>
        <v>0</v>
      </c>
      <c r="AA522" s="78">
        <f t="shared" si="553"/>
        <v>20080</v>
      </c>
      <c r="AB522" s="78">
        <f t="shared" si="553"/>
        <v>0</v>
      </c>
      <c r="AC522" s="78">
        <f t="shared" si="553"/>
        <v>20080</v>
      </c>
      <c r="AD522" s="78">
        <f aca="true" t="shared" si="554" ref="AD522:AI522">SUM(AD523:AD524)</f>
        <v>-80</v>
      </c>
      <c r="AE522" s="78">
        <f t="shared" si="554"/>
        <v>20000</v>
      </c>
      <c r="AF522" s="78">
        <f t="shared" si="554"/>
        <v>0</v>
      </c>
      <c r="AG522" s="78">
        <f t="shared" si="554"/>
        <v>20000</v>
      </c>
      <c r="AH522" s="78">
        <f t="shared" si="554"/>
        <v>0</v>
      </c>
      <c r="AI522" s="78">
        <f t="shared" si="554"/>
        <v>20000</v>
      </c>
      <c r="AJ522" s="78">
        <f>SUM(AJ523:AJ524)</f>
        <v>20000</v>
      </c>
      <c r="AK522" s="78">
        <f>SUM(AK523:AK524)</f>
        <v>40000</v>
      </c>
      <c r="AL522" s="78">
        <f>SUM(AL523:AL524)</f>
        <v>0</v>
      </c>
      <c r="AM522" s="78">
        <f>SUM(AM523:AM524)</f>
        <v>40000</v>
      </c>
    </row>
    <row r="523" spans="1:39" s="23" customFormat="1" ht="21" customHeight="1">
      <c r="A523" s="64"/>
      <c r="B523" s="79"/>
      <c r="C523" s="83">
        <v>4210</v>
      </c>
      <c r="D523" s="37" t="s">
        <v>91</v>
      </c>
      <c r="E523" s="78">
        <v>80</v>
      </c>
      <c r="F523" s="78"/>
      <c r="G523" s="78">
        <f>SUM(E523:F523)</f>
        <v>80</v>
      </c>
      <c r="H523" s="78"/>
      <c r="I523" s="78">
        <f>SUM(G523:H523)</f>
        <v>80</v>
      </c>
      <c r="J523" s="78"/>
      <c r="K523" s="78">
        <f>SUM(I523:J523)</f>
        <v>80</v>
      </c>
      <c r="L523" s="78"/>
      <c r="M523" s="78">
        <f>SUM(K523:L523)</f>
        <v>80</v>
      </c>
      <c r="N523" s="78"/>
      <c r="O523" s="78">
        <f>SUM(M523:N523)</f>
        <v>80</v>
      </c>
      <c r="P523" s="78"/>
      <c r="Q523" s="78">
        <f>SUM(O523:P523)</f>
        <v>80</v>
      </c>
      <c r="R523" s="78"/>
      <c r="S523" s="78">
        <f>SUM(Q523:R523)</f>
        <v>80</v>
      </c>
      <c r="T523" s="78"/>
      <c r="U523" s="78">
        <f>SUM(S523:T523)</f>
        <v>80</v>
      </c>
      <c r="V523" s="78"/>
      <c r="W523" s="78">
        <f>SUM(U523:V523)</f>
        <v>80</v>
      </c>
      <c r="X523" s="78"/>
      <c r="Y523" s="78">
        <f>SUM(W523:X523)</f>
        <v>80</v>
      </c>
      <c r="Z523" s="78"/>
      <c r="AA523" s="78">
        <f>SUM(Y523:Z523)</f>
        <v>80</v>
      </c>
      <c r="AB523" s="78"/>
      <c r="AC523" s="78">
        <f>SUM(AA523:AB523)</f>
        <v>80</v>
      </c>
      <c r="AD523" s="78">
        <v>-80</v>
      </c>
      <c r="AE523" s="78">
        <f>SUM(AC523:AD523)</f>
        <v>0</v>
      </c>
      <c r="AF523" s="78"/>
      <c r="AG523" s="78">
        <f>SUM(AE523:AF523)</f>
        <v>0</v>
      </c>
      <c r="AH523" s="78"/>
      <c r="AI523" s="78">
        <f>SUM(AG523:AH523)</f>
        <v>0</v>
      </c>
      <c r="AJ523" s="78"/>
      <c r="AK523" s="78">
        <f>SUM(AI523:AJ523)</f>
        <v>0</v>
      </c>
      <c r="AL523" s="78"/>
      <c r="AM523" s="78">
        <f>SUM(AK523:AL523)</f>
        <v>0</v>
      </c>
    </row>
    <row r="524" spans="1:39" s="23" customFormat="1" ht="21" customHeight="1">
      <c r="A524" s="64"/>
      <c r="B524" s="79"/>
      <c r="C524" s="83">
        <v>4300</v>
      </c>
      <c r="D524" s="86" t="s">
        <v>78</v>
      </c>
      <c r="E524" s="78">
        <v>20000</v>
      </c>
      <c r="F524" s="78"/>
      <c r="G524" s="78">
        <f>SUM(E524:F524)</f>
        <v>20000</v>
      </c>
      <c r="H524" s="78"/>
      <c r="I524" s="78">
        <f>SUM(G524:H524)</f>
        <v>20000</v>
      </c>
      <c r="J524" s="78"/>
      <c r="K524" s="78">
        <f>SUM(I524:J524)</f>
        <v>20000</v>
      </c>
      <c r="L524" s="78"/>
      <c r="M524" s="78">
        <f>SUM(K524:L524)</f>
        <v>20000</v>
      </c>
      <c r="N524" s="78"/>
      <c r="O524" s="78">
        <f>SUM(M524:N524)</f>
        <v>20000</v>
      </c>
      <c r="P524" s="78"/>
      <c r="Q524" s="78">
        <f>SUM(O524:P524)</f>
        <v>20000</v>
      </c>
      <c r="R524" s="78"/>
      <c r="S524" s="78">
        <f>SUM(Q524:R524)</f>
        <v>20000</v>
      </c>
      <c r="T524" s="78"/>
      <c r="U524" s="78">
        <f>SUM(S524:T524)</f>
        <v>20000</v>
      </c>
      <c r="V524" s="78"/>
      <c r="W524" s="78">
        <f>SUM(U524:V524)</f>
        <v>20000</v>
      </c>
      <c r="X524" s="78"/>
      <c r="Y524" s="78">
        <f>SUM(W524:X524)</f>
        <v>20000</v>
      </c>
      <c r="Z524" s="78"/>
      <c r="AA524" s="78">
        <f>SUM(Y524:Z524)</f>
        <v>20000</v>
      </c>
      <c r="AB524" s="78"/>
      <c r="AC524" s="78">
        <f>SUM(AA524:AB524)</f>
        <v>20000</v>
      </c>
      <c r="AD524" s="78"/>
      <c r="AE524" s="78">
        <f>SUM(AC524:AD524)</f>
        <v>20000</v>
      </c>
      <c r="AF524" s="78"/>
      <c r="AG524" s="78">
        <f>SUM(AE524:AF524)</f>
        <v>20000</v>
      </c>
      <c r="AH524" s="78"/>
      <c r="AI524" s="78">
        <f>SUM(AG524:AH524)</f>
        <v>20000</v>
      </c>
      <c r="AJ524" s="78">
        <v>20000</v>
      </c>
      <c r="AK524" s="78">
        <f>SUM(AI524:AJ524)</f>
        <v>40000</v>
      </c>
      <c r="AL524" s="78"/>
      <c r="AM524" s="78">
        <f>SUM(AK524:AL524)</f>
        <v>40000</v>
      </c>
    </row>
    <row r="525" spans="1:39" s="5" customFormat="1" ht="21" customHeight="1">
      <c r="A525" s="32" t="s">
        <v>140</v>
      </c>
      <c r="B525" s="33"/>
      <c r="C525" s="34"/>
      <c r="D525" s="35" t="s">
        <v>65</v>
      </c>
      <c r="E525" s="36">
        <f aca="true" t="shared" si="555" ref="E525:AG525">SUM(E532,E528,E526,E543)</f>
        <v>2621888</v>
      </c>
      <c r="F525" s="36">
        <f t="shared" si="555"/>
        <v>-744000</v>
      </c>
      <c r="G525" s="36">
        <f t="shared" si="555"/>
        <v>1877888</v>
      </c>
      <c r="H525" s="36">
        <f t="shared" si="555"/>
        <v>0</v>
      </c>
      <c r="I525" s="36">
        <f t="shared" si="555"/>
        <v>1877888</v>
      </c>
      <c r="J525" s="36">
        <f t="shared" si="555"/>
        <v>0</v>
      </c>
      <c r="K525" s="36">
        <f t="shared" si="555"/>
        <v>1877888</v>
      </c>
      <c r="L525" s="36">
        <f t="shared" si="555"/>
        <v>422200</v>
      </c>
      <c r="M525" s="36">
        <f t="shared" si="555"/>
        <v>2300088</v>
      </c>
      <c r="N525" s="36">
        <f t="shared" si="555"/>
        <v>0</v>
      </c>
      <c r="O525" s="36">
        <f t="shared" si="555"/>
        <v>2300088</v>
      </c>
      <c r="P525" s="36">
        <f t="shared" si="555"/>
        <v>0</v>
      </c>
      <c r="Q525" s="36">
        <f t="shared" si="555"/>
        <v>2300088</v>
      </c>
      <c r="R525" s="36">
        <f t="shared" si="555"/>
        <v>26025</v>
      </c>
      <c r="S525" s="36">
        <f t="shared" si="555"/>
        <v>2326113</v>
      </c>
      <c r="T525" s="36">
        <f t="shared" si="555"/>
        <v>0</v>
      </c>
      <c r="U525" s="36">
        <f t="shared" si="555"/>
        <v>2326113</v>
      </c>
      <c r="V525" s="36">
        <f t="shared" si="555"/>
        <v>0</v>
      </c>
      <c r="W525" s="36">
        <f t="shared" si="555"/>
        <v>2326113</v>
      </c>
      <c r="X525" s="36">
        <f t="shared" si="555"/>
        <v>0</v>
      </c>
      <c r="Y525" s="36">
        <f t="shared" si="555"/>
        <v>2326113</v>
      </c>
      <c r="Z525" s="36">
        <f t="shared" si="555"/>
        <v>0</v>
      </c>
      <c r="AA525" s="36">
        <f t="shared" si="555"/>
        <v>2326113</v>
      </c>
      <c r="AB525" s="36">
        <f t="shared" si="555"/>
        <v>20000</v>
      </c>
      <c r="AC525" s="36">
        <f t="shared" si="555"/>
        <v>2346113</v>
      </c>
      <c r="AD525" s="36">
        <f t="shared" si="555"/>
        <v>0</v>
      </c>
      <c r="AE525" s="36">
        <f t="shared" si="555"/>
        <v>2346113</v>
      </c>
      <c r="AF525" s="36">
        <f t="shared" si="555"/>
        <v>9601</v>
      </c>
      <c r="AG525" s="36">
        <f t="shared" si="555"/>
        <v>2355714</v>
      </c>
      <c r="AH525" s="36">
        <f aca="true" t="shared" si="556" ref="AH525:AM525">SUM(AH532,AH528,AH526,AH543)</f>
        <v>0</v>
      </c>
      <c r="AI525" s="36">
        <f t="shared" si="556"/>
        <v>2355714</v>
      </c>
      <c r="AJ525" s="36">
        <f t="shared" si="556"/>
        <v>-148784</v>
      </c>
      <c r="AK525" s="36">
        <f t="shared" si="556"/>
        <v>2206930</v>
      </c>
      <c r="AL525" s="36">
        <f t="shared" si="556"/>
        <v>0</v>
      </c>
      <c r="AM525" s="36">
        <f t="shared" si="556"/>
        <v>2206930</v>
      </c>
    </row>
    <row r="526" spans="1:39" s="23" customFormat="1" ht="21" customHeight="1">
      <c r="A526" s="64"/>
      <c r="B526" s="84">
        <v>92601</v>
      </c>
      <c r="C526" s="83"/>
      <c r="D526" s="37" t="s">
        <v>233</v>
      </c>
      <c r="E526" s="78">
        <f aca="true" t="shared" si="557" ref="E526:AM526">SUM(E527)</f>
        <v>1956380</v>
      </c>
      <c r="F526" s="78">
        <f t="shared" si="557"/>
        <v>-500000</v>
      </c>
      <c r="G526" s="78">
        <f t="shared" si="557"/>
        <v>1456380</v>
      </c>
      <c r="H526" s="78">
        <f t="shared" si="557"/>
        <v>0</v>
      </c>
      <c r="I526" s="78">
        <f t="shared" si="557"/>
        <v>1456380</v>
      </c>
      <c r="J526" s="78">
        <f t="shared" si="557"/>
        <v>0</v>
      </c>
      <c r="K526" s="78">
        <f t="shared" si="557"/>
        <v>1456380</v>
      </c>
      <c r="L526" s="78">
        <f t="shared" si="557"/>
        <v>0</v>
      </c>
      <c r="M526" s="78">
        <f t="shared" si="557"/>
        <v>1456380</v>
      </c>
      <c r="N526" s="78">
        <f t="shared" si="557"/>
        <v>0</v>
      </c>
      <c r="O526" s="78">
        <f t="shared" si="557"/>
        <v>1456380</v>
      </c>
      <c r="P526" s="78">
        <f t="shared" si="557"/>
        <v>0</v>
      </c>
      <c r="Q526" s="78">
        <f t="shared" si="557"/>
        <v>1456380</v>
      </c>
      <c r="R526" s="78">
        <f t="shared" si="557"/>
        <v>0</v>
      </c>
      <c r="S526" s="78">
        <f t="shared" si="557"/>
        <v>1456380</v>
      </c>
      <c r="T526" s="78">
        <f t="shared" si="557"/>
        <v>0</v>
      </c>
      <c r="U526" s="78">
        <f t="shared" si="557"/>
        <v>1456380</v>
      </c>
      <c r="V526" s="78">
        <f t="shared" si="557"/>
        <v>0</v>
      </c>
      <c r="W526" s="78">
        <f t="shared" si="557"/>
        <v>1456380</v>
      </c>
      <c r="X526" s="78">
        <f t="shared" si="557"/>
        <v>0</v>
      </c>
      <c r="Y526" s="78">
        <f t="shared" si="557"/>
        <v>1456380</v>
      </c>
      <c r="Z526" s="78">
        <f t="shared" si="557"/>
        <v>0</v>
      </c>
      <c r="AA526" s="78">
        <f t="shared" si="557"/>
        <v>1456380</v>
      </c>
      <c r="AB526" s="78">
        <f t="shared" si="557"/>
        <v>0</v>
      </c>
      <c r="AC526" s="78">
        <f t="shared" si="557"/>
        <v>1456380</v>
      </c>
      <c r="AD526" s="78">
        <f t="shared" si="557"/>
        <v>0</v>
      </c>
      <c r="AE526" s="78">
        <f t="shared" si="557"/>
        <v>1456380</v>
      </c>
      <c r="AF526" s="78">
        <f t="shared" si="557"/>
        <v>0</v>
      </c>
      <c r="AG526" s="78">
        <f t="shared" si="557"/>
        <v>1456380</v>
      </c>
      <c r="AH526" s="78">
        <f t="shared" si="557"/>
        <v>0</v>
      </c>
      <c r="AI526" s="78">
        <f t="shared" si="557"/>
        <v>1456380</v>
      </c>
      <c r="AJ526" s="78">
        <f t="shared" si="557"/>
        <v>-49930</v>
      </c>
      <c r="AK526" s="78">
        <f t="shared" si="557"/>
        <v>1406450</v>
      </c>
      <c r="AL526" s="78">
        <f t="shared" si="557"/>
        <v>0</v>
      </c>
      <c r="AM526" s="78">
        <f t="shared" si="557"/>
        <v>1406450</v>
      </c>
    </row>
    <row r="527" spans="1:39" s="163" customFormat="1" ht="21" customHeight="1">
      <c r="A527" s="64"/>
      <c r="B527" s="84"/>
      <c r="C527" s="83">
        <v>6050</v>
      </c>
      <c r="D527" s="37" t="s">
        <v>77</v>
      </c>
      <c r="E527" s="78">
        <f>70000+1886380</f>
        <v>1956380</v>
      </c>
      <c r="F527" s="78">
        <f>-600000+100000</f>
        <v>-500000</v>
      </c>
      <c r="G527" s="78">
        <f>SUM(E527:F527)</f>
        <v>1456380</v>
      </c>
      <c r="H527" s="78"/>
      <c r="I527" s="78">
        <f>SUM(G527:H527)</f>
        <v>1456380</v>
      </c>
      <c r="J527" s="78"/>
      <c r="K527" s="78">
        <f>SUM(I527:J527)</f>
        <v>1456380</v>
      </c>
      <c r="L527" s="78"/>
      <c r="M527" s="78">
        <f>SUM(K527:L527)</f>
        <v>1456380</v>
      </c>
      <c r="N527" s="78"/>
      <c r="O527" s="78">
        <f>SUM(M527:N527)</f>
        <v>1456380</v>
      </c>
      <c r="P527" s="78"/>
      <c r="Q527" s="78">
        <f>SUM(O527:P527)</f>
        <v>1456380</v>
      </c>
      <c r="R527" s="78"/>
      <c r="S527" s="78">
        <f>SUM(Q527:R527)</f>
        <v>1456380</v>
      </c>
      <c r="T527" s="78"/>
      <c r="U527" s="78">
        <f>SUM(S527:T527)</f>
        <v>1456380</v>
      </c>
      <c r="V527" s="78"/>
      <c r="W527" s="78">
        <f>SUM(U527:V527)</f>
        <v>1456380</v>
      </c>
      <c r="X527" s="78"/>
      <c r="Y527" s="78">
        <f>SUM(W527:X527)</f>
        <v>1456380</v>
      </c>
      <c r="Z527" s="78"/>
      <c r="AA527" s="78">
        <f>SUM(Y527:Z527)</f>
        <v>1456380</v>
      </c>
      <c r="AB527" s="78"/>
      <c r="AC527" s="78">
        <f>SUM(AA527:AB527)</f>
        <v>1456380</v>
      </c>
      <c r="AD527" s="78"/>
      <c r="AE527" s="78">
        <f>SUM(AC527:AD527)</f>
        <v>1456380</v>
      </c>
      <c r="AF527" s="78"/>
      <c r="AG527" s="78">
        <f>SUM(AE527:AF527)</f>
        <v>1456380</v>
      </c>
      <c r="AH527" s="78"/>
      <c r="AI527" s="78">
        <f>SUM(AG527:AH527)</f>
        <v>1456380</v>
      </c>
      <c r="AJ527" s="78">
        <f>-39517-10413</f>
        <v>-49930</v>
      </c>
      <c r="AK527" s="78">
        <f>SUM(AI527:AJ527)</f>
        <v>1406450</v>
      </c>
      <c r="AL527" s="78"/>
      <c r="AM527" s="78">
        <f>SUM(AK527:AL527)</f>
        <v>1406450</v>
      </c>
    </row>
    <row r="528" spans="1:39" s="23" customFormat="1" ht="21.75" customHeight="1">
      <c r="A528" s="64"/>
      <c r="B528" s="84">
        <v>92604</v>
      </c>
      <c r="C528" s="83"/>
      <c r="D528" s="37" t="s">
        <v>195</v>
      </c>
      <c r="E528" s="78">
        <f aca="true" t="shared" si="558" ref="E528:W528">SUM(E529:E531)</f>
        <v>530000</v>
      </c>
      <c r="F528" s="78">
        <f t="shared" si="558"/>
        <v>-250000</v>
      </c>
      <c r="G528" s="78">
        <f t="shared" si="558"/>
        <v>280000</v>
      </c>
      <c r="H528" s="78">
        <f t="shared" si="558"/>
        <v>0</v>
      </c>
      <c r="I528" s="78">
        <f t="shared" si="558"/>
        <v>280000</v>
      </c>
      <c r="J528" s="78">
        <f t="shared" si="558"/>
        <v>0</v>
      </c>
      <c r="K528" s="78">
        <f t="shared" si="558"/>
        <v>280000</v>
      </c>
      <c r="L528" s="78">
        <f t="shared" si="558"/>
        <v>0</v>
      </c>
      <c r="M528" s="78">
        <f t="shared" si="558"/>
        <v>280000</v>
      </c>
      <c r="N528" s="78">
        <f t="shared" si="558"/>
        <v>0</v>
      </c>
      <c r="O528" s="78">
        <f t="shared" si="558"/>
        <v>280000</v>
      </c>
      <c r="P528" s="78">
        <f t="shared" si="558"/>
        <v>0</v>
      </c>
      <c r="Q528" s="78">
        <f t="shared" si="558"/>
        <v>280000</v>
      </c>
      <c r="R528" s="78">
        <f t="shared" si="558"/>
        <v>0</v>
      </c>
      <c r="S528" s="78">
        <f t="shared" si="558"/>
        <v>280000</v>
      </c>
      <c r="T528" s="78">
        <f t="shared" si="558"/>
        <v>0</v>
      </c>
      <c r="U528" s="78">
        <f t="shared" si="558"/>
        <v>280000</v>
      </c>
      <c r="V528" s="78">
        <f t="shared" si="558"/>
        <v>0</v>
      </c>
      <c r="W528" s="78">
        <f t="shared" si="558"/>
        <v>280000</v>
      </c>
      <c r="X528" s="78">
        <f aca="true" t="shared" si="559" ref="X528:AG528">SUM(X529:X531)</f>
        <v>0</v>
      </c>
      <c r="Y528" s="78">
        <f t="shared" si="559"/>
        <v>280000</v>
      </c>
      <c r="Z528" s="78">
        <f t="shared" si="559"/>
        <v>0</v>
      </c>
      <c r="AA528" s="78">
        <f t="shared" si="559"/>
        <v>280000</v>
      </c>
      <c r="AB528" s="78">
        <f t="shared" si="559"/>
        <v>0</v>
      </c>
      <c r="AC528" s="78">
        <f t="shared" si="559"/>
        <v>280000</v>
      </c>
      <c r="AD528" s="78">
        <f t="shared" si="559"/>
        <v>0</v>
      </c>
      <c r="AE528" s="78">
        <f t="shared" si="559"/>
        <v>280000</v>
      </c>
      <c r="AF528" s="78">
        <f t="shared" si="559"/>
        <v>0</v>
      </c>
      <c r="AG528" s="78">
        <f t="shared" si="559"/>
        <v>280000</v>
      </c>
      <c r="AH528" s="78">
        <f aca="true" t="shared" si="560" ref="AH528:AM528">SUM(AH529:AH531)</f>
        <v>0</v>
      </c>
      <c r="AI528" s="78">
        <f t="shared" si="560"/>
        <v>280000</v>
      </c>
      <c r="AJ528" s="78">
        <f t="shared" si="560"/>
        <v>-100000</v>
      </c>
      <c r="AK528" s="78">
        <f t="shared" si="560"/>
        <v>180000</v>
      </c>
      <c r="AL528" s="78">
        <f t="shared" si="560"/>
        <v>0</v>
      </c>
      <c r="AM528" s="78">
        <f t="shared" si="560"/>
        <v>180000</v>
      </c>
    </row>
    <row r="529" spans="1:39" s="23" customFormat="1" ht="21" customHeight="1">
      <c r="A529" s="64"/>
      <c r="B529" s="84"/>
      <c r="C529" s="83">
        <v>4270</v>
      </c>
      <c r="D529" s="37" t="s">
        <v>77</v>
      </c>
      <c r="E529" s="78">
        <v>10000</v>
      </c>
      <c r="F529" s="78"/>
      <c r="G529" s="78">
        <f>SUM(E529:F529)</f>
        <v>10000</v>
      </c>
      <c r="H529" s="78"/>
      <c r="I529" s="78">
        <f>SUM(G529:H529)</f>
        <v>10000</v>
      </c>
      <c r="J529" s="78"/>
      <c r="K529" s="78">
        <f>SUM(I529:J529)</f>
        <v>10000</v>
      </c>
      <c r="L529" s="78"/>
      <c r="M529" s="78">
        <f>SUM(K529:L529)</f>
        <v>10000</v>
      </c>
      <c r="N529" s="78"/>
      <c r="O529" s="78">
        <f>SUM(M529:N529)</f>
        <v>10000</v>
      </c>
      <c r="P529" s="78"/>
      <c r="Q529" s="78">
        <f>SUM(O529:P529)</f>
        <v>10000</v>
      </c>
      <c r="R529" s="78"/>
      <c r="S529" s="78">
        <f>SUM(Q529:R529)</f>
        <v>10000</v>
      </c>
      <c r="T529" s="78"/>
      <c r="U529" s="78">
        <f>SUM(S529:T529)</f>
        <v>10000</v>
      </c>
      <c r="V529" s="78"/>
      <c r="W529" s="78">
        <f>SUM(U529:V529)</f>
        <v>10000</v>
      </c>
      <c r="X529" s="78"/>
      <c r="Y529" s="78">
        <f>SUM(W529:X529)</f>
        <v>10000</v>
      </c>
      <c r="Z529" s="78"/>
      <c r="AA529" s="78">
        <f>SUM(Y529:Z529)</f>
        <v>10000</v>
      </c>
      <c r="AB529" s="78"/>
      <c r="AC529" s="78">
        <f>SUM(AA529:AB529)</f>
        <v>10000</v>
      </c>
      <c r="AD529" s="78"/>
      <c r="AE529" s="78">
        <f>SUM(AC529:AD529)</f>
        <v>10000</v>
      </c>
      <c r="AF529" s="78"/>
      <c r="AG529" s="78">
        <f>SUM(AE529:AF529)</f>
        <v>10000</v>
      </c>
      <c r="AH529" s="78"/>
      <c r="AI529" s="78">
        <f>SUM(AG529:AH529)</f>
        <v>10000</v>
      </c>
      <c r="AJ529" s="78"/>
      <c r="AK529" s="78">
        <f>SUM(AI529:AJ529)</f>
        <v>10000</v>
      </c>
      <c r="AL529" s="78"/>
      <c r="AM529" s="78">
        <f>SUM(AK529:AL529)</f>
        <v>10000</v>
      </c>
    </row>
    <row r="530" spans="1:39" s="23" customFormat="1" ht="21" customHeight="1">
      <c r="A530" s="64"/>
      <c r="B530" s="84"/>
      <c r="C530" s="83">
        <v>4300</v>
      </c>
      <c r="D530" s="86" t="s">
        <v>78</v>
      </c>
      <c r="E530" s="78">
        <f>90000+30000</f>
        <v>120000</v>
      </c>
      <c r="F530" s="78"/>
      <c r="G530" s="78">
        <f>SUM(E530:F530)</f>
        <v>120000</v>
      </c>
      <c r="H530" s="78"/>
      <c r="I530" s="78">
        <f>SUM(G530:H530)</f>
        <v>120000</v>
      </c>
      <c r="J530" s="78"/>
      <c r="K530" s="78">
        <f>SUM(I530:J530)</f>
        <v>120000</v>
      </c>
      <c r="L530" s="78"/>
      <c r="M530" s="78">
        <f>SUM(K530:L530)</f>
        <v>120000</v>
      </c>
      <c r="N530" s="78"/>
      <c r="O530" s="78">
        <f>SUM(M530:N530)</f>
        <v>120000</v>
      </c>
      <c r="P530" s="78"/>
      <c r="Q530" s="78">
        <f>SUM(O530:P530)</f>
        <v>120000</v>
      </c>
      <c r="R530" s="78"/>
      <c r="S530" s="78">
        <f>SUM(Q530:R530)</f>
        <v>120000</v>
      </c>
      <c r="T530" s="78"/>
      <c r="U530" s="78">
        <f>SUM(S530:T530)</f>
        <v>120000</v>
      </c>
      <c r="V530" s="78"/>
      <c r="W530" s="78">
        <f>SUM(U530:V530)</f>
        <v>120000</v>
      </c>
      <c r="X530" s="78"/>
      <c r="Y530" s="78">
        <f>SUM(W530:X530)</f>
        <v>120000</v>
      </c>
      <c r="Z530" s="78"/>
      <c r="AA530" s="78">
        <f>SUM(Y530:Z530)</f>
        <v>120000</v>
      </c>
      <c r="AB530" s="78"/>
      <c r="AC530" s="78">
        <f>SUM(AA530:AB530)</f>
        <v>120000</v>
      </c>
      <c r="AD530" s="78"/>
      <c r="AE530" s="78">
        <f>SUM(AC530:AD530)</f>
        <v>120000</v>
      </c>
      <c r="AF530" s="78"/>
      <c r="AG530" s="78">
        <f>SUM(AE530:AF530)</f>
        <v>120000</v>
      </c>
      <c r="AH530" s="78"/>
      <c r="AI530" s="78">
        <f>SUM(AG530:AH530)</f>
        <v>120000</v>
      </c>
      <c r="AJ530" s="78"/>
      <c r="AK530" s="78">
        <f>SUM(AI530:AJ530)</f>
        <v>120000</v>
      </c>
      <c r="AL530" s="78"/>
      <c r="AM530" s="78">
        <f>SUM(AK530:AL530)</f>
        <v>120000</v>
      </c>
    </row>
    <row r="531" spans="1:39" s="23" customFormat="1" ht="56.25">
      <c r="A531" s="64"/>
      <c r="B531" s="84"/>
      <c r="C531" s="83">
        <v>6010</v>
      </c>
      <c r="D531" s="12" t="s">
        <v>246</v>
      </c>
      <c r="E531" s="78">
        <v>400000</v>
      </c>
      <c r="F531" s="78">
        <v>-250000</v>
      </c>
      <c r="G531" s="78">
        <f>SUM(E531:F531)</f>
        <v>150000</v>
      </c>
      <c r="H531" s="78"/>
      <c r="I531" s="78">
        <f>SUM(G531:H531)</f>
        <v>150000</v>
      </c>
      <c r="J531" s="78"/>
      <c r="K531" s="78">
        <f>SUM(I531:J531)</f>
        <v>150000</v>
      </c>
      <c r="L531" s="78"/>
      <c r="M531" s="78">
        <f>SUM(K531:L531)</f>
        <v>150000</v>
      </c>
      <c r="N531" s="78"/>
      <c r="O531" s="78">
        <f>SUM(M531:N531)</f>
        <v>150000</v>
      </c>
      <c r="P531" s="78"/>
      <c r="Q531" s="78">
        <f>SUM(O531:P531)</f>
        <v>150000</v>
      </c>
      <c r="R531" s="78"/>
      <c r="S531" s="78">
        <f>SUM(Q531:R531)</f>
        <v>150000</v>
      </c>
      <c r="T531" s="78"/>
      <c r="U531" s="78">
        <f>SUM(S531:T531)</f>
        <v>150000</v>
      </c>
      <c r="V531" s="78"/>
      <c r="W531" s="78">
        <f>SUM(U531:V531)</f>
        <v>150000</v>
      </c>
      <c r="X531" s="78"/>
      <c r="Y531" s="78">
        <f>SUM(W531:X531)</f>
        <v>150000</v>
      </c>
      <c r="Z531" s="78"/>
      <c r="AA531" s="78">
        <f>SUM(Y531:Z531)</f>
        <v>150000</v>
      </c>
      <c r="AB531" s="78"/>
      <c r="AC531" s="78">
        <f>SUM(AA531:AB531)</f>
        <v>150000</v>
      </c>
      <c r="AD531" s="78"/>
      <c r="AE531" s="78">
        <f>SUM(AC531:AD531)</f>
        <v>150000</v>
      </c>
      <c r="AF531" s="78"/>
      <c r="AG531" s="78">
        <f>SUM(AE531:AF531)</f>
        <v>150000</v>
      </c>
      <c r="AH531" s="78"/>
      <c r="AI531" s="78">
        <f>SUM(AG531:AH531)</f>
        <v>150000</v>
      </c>
      <c r="AJ531" s="78">
        <v>-100000</v>
      </c>
      <c r="AK531" s="78">
        <f>SUM(AI531:AJ531)</f>
        <v>50000</v>
      </c>
      <c r="AL531" s="78"/>
      <c r="AM531" s="78">
        <f>SUM(AK531:AL531)</f>
        <v>50000</v>
      </c>
    </row>
    <row r="532" spans="1:39" s="23" customFormat="1" ht="22.5">
      <c r="A532" s="83"/>
      <c r="B532" s="254">
        <v>92605</v>
      </c>
      <c r="C532" s="83"/>
      <c r="D532" s="37" t="s">
        <v>66</v>
      </c>
      <c r="E532" s="78">
        <f aca="true" t="shared" si="561" ref="E532:J532">SUM(E534:E541)</f>
        <v>124903</v>
      </c>
      <c r="F532" s="78">
        <f t="shared" si="561"/>
        <v>6000</v>
      </c>
      <c r="G532" s="78">
        <f t="shared" si="561"/>
        <v>130903</v>
      </c>
      <c r="H532" s="78">
        <f t="shared" si="561"/>
        <v>0</v>
      </c>
      <c r="I532" s="78">
        <f t="shared" si="561"/>
        <v>130903</v>
      </c>
      <c r="J532" s="78">
        <f t="shared" si="561"/>
        <v>0</v>
      </c>
      <c r="K532" s="78">
        <f aca="true" t="shared" si="562" ref="K532:P532">SUM(K533:K541)</f>
        <v>130903</v>
      </c>
      <c r="L532" s="78">
        <f t="shared" si="562"/>
        <v>422200</v>
      </c>
      <c r="M532" s="78">
        <f t="shared" si="562"/>
        <v>553103</v>
      </c>
      <c r="N532" s="78">
        <f t="shared" si="562"/>
        <v>0</v>
      </c>
      <c r="O532" s="78">
        <f t="shared" si="562"/>
        <v>553103</v>
      </c>
      <c r="P532" s="78">
        <f t="shared" si="562"/>
        <v>0</v>
      </c>
      <c r="Q532" s="78">
        <f aca="true" t="shared" si="563" ref="Q532:W532">SUM(Q533:Q542)</f>
        <v>553103</v>
      </c>
      <c r="R532" s="78">
        <f t="shared" si="563"/>
        <v>26025</v>
      </c>
      <c r="S532" s="78">
        <f t="shared" si="563"/>
        <v>579128</v>
      </c>
      <c r="T532" s="78">
        <f t="shared" si="563"/>
        <v>0</v>
      </c>
      <c r="U532" s="78">
        <f t="shared" si="563"/>
        <v>579128</v>
      </c>
      <c r="V532" s="78">
        <f t="shared" si="563"/>
        <v>0</v>
      </c>
      <c r="W532" s="78">
        <f t="shared" si="563"/>
        <v>579128</v>
      </c>
      <c r="X532" s="78">
        <f aca="true" t="shared" si="564" ref="X532:AC532">SUM(X533:X542)</f>
        <v>0</v>
      </c>
      <c r="Y532" s="78">
        <f t="shared" si="564"/>
        <v>579128</v>
      </c>
      <c r="Z532" s="78">
        <f t="shared" si="564"/>
        <v>0</v>
      </c>
      <c r="AA532" s="78">
        <f t="shared" si="564"/>
        <v>579128</v>
      </c>
      <c r="AB532" s="78">
        <f t="shared" si="564"/>
        <v>20000</v>
      </c>
      <c r="AC532" s="78">
        <f t="shared" si="564"/>
        <v>599128</v>
      </c>
      <c r="AD532" s="78">
        <f aca="true" t="shared" si="565" ref="AD532:AI532">SUM(AD533:AD542)</f>
        <v>0</v>
      </c>
      <c r="AE532" s="78">
        <f t="shared" si="565"/>
        <v>599128</v>
      </c>
      <c r="AF532" s="78">
        <f t="shared" si="565"/>
        <v>-30399</v>
      </c>
      <c r="AG532" s="78">
        <f t="shared" si="565"/>
        <v>568729</v>
      </c>
      <c r="AH532" s="78">
        <f t="shared" si="565"/>
        <v>0</v>
      </c>
      <c r="AI532" s="78">
        <f t="shared" si="565"/>
        <v>568729</v>
      </c>
      <c r="AJ532" s="78">
        <f>SUM(AJ533:AJ542)</f>
        <v>1501</v>
      </c>
      <c r="AK532" s="78">
        <f>SUM(AK533:AK542)</f>
        <v>570230</v>
      </c>
      <c r="AL532" s="78">
        <f>SUM(AL533:AL542)</f>
        <v>0</v>
      </c>
      <c r="AM532" s="78">
        <f>SUM(AM533:AM542)</f>
        <v>570230</v>
      </c>
    </row>
    <row r="533" spans="1:39" s="23" customFormat="1" ht="33.75">
      <c r="A533" s="83"/>
      <c r="B533" s="254"/>
      <c r="C533" s="83">
        <v>2820</v>
      </c>
      <c r="D533" s="37" t="s">
        <v>354</v>
      </c>
      <c r="E533" s="78"/>
      <c r="F533" s="78"/>
      <c r="G533" s="78"/>
      <c r="H533" s="78"/>
      <c r="I533" s="78"/>
      <c r="J533" s="78"/>
      <c r="K533" s="78">
        <v>0</v>
      </c>
      <c r="L533" s="78">
        <v>400000</v>
      </c>
      <c r="M533" s="78">
        <f aca="true" t="shared" si="566" ref="M533:M541">SUM(K533:L533)</f>
        <v>400000</v>
      </c>
      <c r="N533" s="78"/>
      <c r="O533" s="78">
        <f aca="true" t="shared" si="567" ref="O533:O541">SUM(M533:N533)</f>
        <v>400000</v>
      </c>
      <c r="P533" s="78"/>
      <c r="Q533" s="78">
        <f aca="true" t="shared" si="568" ref="Q533:Q541">SUM(O533:P533)</f>
        <v>400000</v>
      </c>
      <c r="R533" s="78"/>
      <c r="S533" s="78">
        <f aca="true" t="shared" si="569" ref="S533:S542">SUM(Q533:R533)</f>
        <v>400000</v>
      </c>
      <c r="T533" s="78"/>
      <c r="U533" s="78">
        <f aca="true" t="shared" si="570" ref="U533:U542">SUM(S533:T533)</f>
        <v>400000</v>
      </c>
      <c r="V533" s="78"/>
      <c r="W533" s="78">
        <f aca="true" t="shared" si="571" ref="W533:W542">SUM(U533:V533)</f>
        <v>400000</v>
      </c>
      <c r="X533" s="78"/>
      <c r="Y533" s="78">
        <f aca="true" t="shared" si="572" ref="Y533:Y542">SUM(W533:X533)</f>
        <v>400000</v>
      </c>
      <c r="Z533" s="78"/>
      <c r="AA533" s="78">
        <f aca="true" t="shared" si="573" ref="AA533:AA542">SUM(Y533:Z533)</f>
        <v>400000</v>
      </c>
      <c r="AB533" s="78">
        <f>4000+16000</f>
        <v>20000</v>
      </c>
      <c r="AC533" s="78">
        <f aca="true" t="shared" si="574" ref="AC533:AC542">SUM(AA533:AB533)</f>
        <v>420000</v>
      </c>
      <c r="AD533" s="78">
        <v>0</v>
      </c>
      <c r="AE533" s="78">
        <f aca="true" t="shared" si="575" ref="AE533:AE542">SUM(AC533:AD533)</f>
        <v>420000</v>
      </c>
      <c r="AF533" s="78">
        <v>0</v>
      </c>
      <c r="AG533" s="78">
        <f aca="true" t="shared" si="576" ref="AG533:AG542">SUM(AE533:AF533)</f>
        <v>420000</v>
      </c>
      <c r="AH533" s="78">
        <v>0</v>
      </c>
      <c r="AI533" s="78">
        <f aca="true" t="shared" si="577" ref="AI533:AI542">SUM(AG533:AH533)</f>
        <v>420000</v>
      </c>
      <c r="AJ533" s="78">
        <v>0</v>
      </c>
      <c r="AK533" s="78">
        <f aca="true" t="shared" si="578" ref="AK533:AK542">SUM(AI533:AJ533)</f>
        <v>420000</v>
      </c>
      <c r="AL533" s="78">
        <v>0</v>
      </c>
      <c r="AM533" s="78">
        <f aca="true" t="shared" si="579" ref="AM533:AM542">SUM(AK533:AL533)</f>
        <v>420000</v>
      </c>
    </row>
    <row r="534" spans="1:39" s="23" customFormat="1" ht="24.75" customHeight="1">
      <c r="A534" s="83"/>
      <c r="B534" s="254"/>
      <c r="C534" s="83">
        <v>3250</v>
      </c>
      <c r="D534" s="37" t="s">
        <v>247</v>
      </c>
      <c r="E534" s="78">
        <v>50000</v>
      </c>
      <c r="F534" s="78"/>
      <c r="G534" s="78">
        <f aca="true" t="shared" si="580" ref="G534:G541">SUM(E534:F534)</f>
        <v>50000</v>
      </c>
      <c r="H534" s="78"/>
      <c r="I534" s="78">
        <f aca="true" t="shared" si="581" ref="I534:I541">SUM(G534:H534)</f>
        <v>50000</v>
      </c>
      <c r="J534" s="78"/>
      <c r="K534" s="78">
        <f aca="true" t="shared" si="582" ref="K534:K541">SUM(I534:J534)</f>
        <v>50000</v>
      </c>
      <c r="L534" s="78"/>
      <c r="M534" s="78">
        <f t="shared" si="566"/>
        <v>50000</v>
      </c>
      <c r="N534" s="78"/>
      <c r="O534" s="78">
        <f t="shared" si="567"/>
        <v>50000</v>
      </c>
      <c r="P534" s="78"/>
      <c r="Q534" s="78">
        <f t="shared" si="568"/>
        <v>50000</v>
      </c>
      <c r="R534" s="78"/>
      <c r="S534" s="78">
        <f t="shared" si="569"/>
        <v>50000</v>
      </c>
      <c r="T534" s="78"/>
      <c r="U534" s="78">
        <f t="shared" si="570"/>
        <v>50000</v>
      </c>
      <c r="V534" s="78"/>
      <c r="W534" s="78">
        <f t="shared" si="571"/>
        <v>50000</v>
      </c>
      <c r="X534" s="78"/>
      <c r="Y534" s="78">
        <f t="shared" si="572"/>
        <v>50000</v>
      </c>
      <c r="Z534" s="78"/>
      <c r="AA534" s="78">
        <f t="shared" si="573"/>
        <v>50000</v>
      </c>
      <c r="AB534" s="78"/>
      <c r="AC534" s="78">
        <f t="shared" si="574"/>
        <v>50000</v>
      </c>
      <c r="AD534" s="78"/>
      <c r="AE534" s="78">
        <f t="shared" si="575"/>
        <v>50000</v>
      </c>
      <c r="AF534" s="78"/>
      <c r="AG534" s="78">
        <f t="shared" si="576"/>
        <v>50000</v>
      </c>
      <c r="AH534" s="78"/>
      <c r="AI534" s="78">
        <f t="shared" si="577"/>
        <v>50000</v>
      </c>
      <c r="AJ534" s="78"/>
      <c r="AK534" s="78">
        <f t="shared" si="578"/>
        <v>50000</v>
      </c>
      <c r="AL534" s="78"/>
      <c r="AM534" s="78">
        <f t="shared" si="579"/>
        <v>50000</v>
      </c>
    </row>
    <row r="535" spans="1:42" s="23" customFormat="1" ht="21" customHeight="1">
      <c r="A535" s="83"/>
      <c r="B535" s="254"/>
      <c r="C535" s="83">
        <v>4110</v>
      </c>
      <c r="D535" s="37" t="s">
        <v>85</v>
      </c>
      <c r="E535" s="78">
        <v>1200</v>
      </c>
      <c r="F535" s="78"/>
      <c r="G535" s="78">
        <f t="shared" si="580"/>
        <v>1200</v>
      </c>
      <c r="H535" s="78"/>
      <c r="I535" s="78">
        <f t="shared" si="581"/>
        <v>1200</v>
      </c>
      <c r="J535" s="78"/>
      <c r="K535" s="78">
        <f t="shared" si="582"/>
        <v>1200</v>
      </c>
      <c r="L535" s="78">
        <v>470</v>
      </c>
      <c r="M535" s="78">
        <f t="shared" si="566"/>
        <v>1670</v>
      </c>
      <c r="N535" s="78"/>
      <c r="O535" s="78">
        <f t="shared" si="567"/>
        <v>1670</v>
      </c>
      <c r="P535" s="78"/>
      <c r="Q535" s="78">
        <f t="shared" si="568"/>
        <v>1670</v>
      </c>
      <c r="R535" s="78">
        <v>14</v>
      </c>
      <c r="S535" s="78">
        <f t="shared" si="569"/>
        <v>1684</v>
      </c>
      <c r="T535" s="78"/>
      <c r="U535" s="78">
        <f t="shared" si="570"/>
        <v>1684</v>
      </c>
      <c r="V535" s="78"/>
      <c r="W535" s="78">
        <f t="shared" si="571"/>
        <v>1684</v>
      </c>
      <c r="X535" s="78"/>
      <c r="Y535" s="78">
        <f t="shared" si="572"/>
        <v>1684</v>
      </c>
      <c r="Z535" s="78"/>
      <c r="AA535" s="78">
        <f t="shared" si="573"/>
        <v>1684</v>
      </c>
      <c r="AB535" s="78"/>
      <c r="AC535" s="78">
        <f t="shared" si="574"/>
        <v>1684</v>
      </c>
      <c r="AD535" s="78"/>
      <c r="AE535" s="78">
        <f t="shared" si="575"/>
        <v>1684</v>
      </c>
      <c r="AF535" s="78">
        <f>-484+600+1340+55+55+400</f>
        <v>1966</v>
      </c>
      <c r="AG535" s="78">
        <f t="shared" si="576"/>
        <v>3650</v>
      </c>
      <c r="AH535" s="78"/>
      <c r="AI535" s="78">
        <f t="shared" si="577"/>
        <v>3650</v>
      </c>
      <c r="AJ535" s="78">
        <v>150</v>
      </c>
      <c r="AK535" s="78">
        <f t="shared" si="578"/>
        <v>3800</v>
      </c>
      <c r="AL535" s="78"/>
      <c r="AM535" s="78">
        <f t="shared" si="579"/>
        <v>3800</v>
      </c>
      <c r="AN535" s="113"/>
      <c r="AO535" s="113"/>
      <c r="AP535" s="113"/>
    </row>
    <row r="536" spans="1:42" s="23" customFormat="1" ht="21" customHeight="1">
      <c r="A536" s="83"/>
      <c r="B536" s="254"/>
      <c r="C536" s="83">
        <v>4120</v>
      </c>
      <c r="D536" s="37" t="s">
        <v>86</v>
      </c>
      <c r="E536" s="78">
        <v>150</v>
      </c>
      <c r="F536" s="78"/>
      <c r="G536" s="78">
        <f t="shared" si="580"/>
        <v>150</v>
      </c>
      <c r="H536" s="78"/>
      <c r="I536" s="78">
        <f t="shared" si="581"/>
        <v>150</v>
      </c>
      <c r="J536" s="78"/>
      <c r="K536" s="78">
        <f t="shared" si="582"/>
        <v>150</v>
      </c>
      <c r="L536" s="78">
        <v>42</v>
      </c>
      <c r="M536" s="78">
        <f t="shared" si="566"/>
        <v>192</v>
      </c>
      <c r="N536" s="78"/>
      <c r="O536" s="78">
        <f t="shared" si="567"/>
        <v>192</v>
      </c>
      <c r="P536" s="78"/>
      <c r="Q536" s="78">
        <f t="shared" si="568"/>
        <v>192</v>
      </c>
      <c r="R536" s="78">
        <v>36</v>
      </c>
      <c r="S536" s="78">
        <f t="shared" si="569"/>
        <v>228</v>
      </c>
      <c r="T536" s="78"/>
      <c r="U536" s="78">
        <f t="shared" si="570"/>
        <v>228</v>
      </c>
      <c r="V536" s="78"/>
      <c r="W536" s="78">
        <f t="shared" si="571"/>
        <v>228</v>
      </c>
      <c r="X536" s="78"/>
      <c r="Y536" s="78">
        <f t="shared" si="572"/>
        <v>228</v>
      </c>
      <c r="Z536" s="78"/>
      <c r="AA536" s="78">
        <f t="shared" si="573"/>
        <v>228</v>
      </c>
      <c r="AB536" s="78"/>
      <c r="AC536" s="78">
        <f t="shared" si="574"/>
        <v>228</v>
      </c>
      <c r="AD536" s="78"/>
      <c r="AE536" s="78">
        <f t="shared" si="575"/>
        <v>228</v>
      </c>
      <c r="AF536" s="78">
        <f>-78+100+216</f>
        <v>238</v>
      </c>
      <c r="AG536" s="78">
        <f t="shared" si="576"/>
        <v>466</v>
      </c>
      <c r="AH536" s="78"/>
      <c r="AI536" s="78">
        <f t="shared" si="577"/>
        <v>466</v>
      </c>
      <c r="AJ536" s="78"/>
      <c r="AK536" s="78">
        <f t="shared" si="578"/>
        <v>466</v>
      </c>
      <c r="AL536" s="78"/>
      <c r="AM536" s="78">
        <f t="shared" si="579"/>
        <v>466</v>
      </c>
      <c r="AN536" s="113"/>
      <c r="AO536" s="113"/>
      <c r="AP536" s="113"/>
    </row>
    <row r="537" spans="1:42" s="23" customFormat="1" ht="21" customHeight="1">
      <c r="A537" s="83"/>
      <c r="B537" s="254"/>
      <c r="C537" s="83">
        <v>4170</v>
      </c>
      <c r="D537" s="37" t="s">
        <v>192</v>
      </c>
      <c r="E537" s="78">
        <f>40000+5000-1200-150</f>
        <v>43650</v>
      </c>
      <c r="F537" s="78"/>
      <c r="G537" s="78">
        <f t="shared" si="580"/>
        <v>43650</v>
      </c>
      <c r="H537" s="78"/>
      <c r="I537" s="78">
        <f t="shared" si="581"/>
        <v>43650</v>
      </c>
      <c r="J537" s="78"/>
      <c r="K537" s="78">
        <f t="shared" si="582"/>
        <v>43650</v>
      </c>
      <c r="L537" s="78">
        <v>4410</v>
      </c>
      <c r="M537" s="78">
        <f t="shared" si="566"/>
        <v>48060</v>
      </c>
      <c r="N537" s="78"/>
      <c r="O537" s="78">
        <f t="shared" si="567"/>
        <v>48060</v>
      </c>
      <c r="P537" s="78"/>
      <c r="Q537" s="78">
        <f t="shared" si="568"/>
        <v>48060</v>
      </c>
      <c r="R537" s="78">
        <f>6025+8711</f>
        <v>14736</v>
      </c>
      <c r="S537" s="78">
        <f t="shared" si="569"/>
        <v>62796</v>
      </c>
      <c r="T537" s="78"/>
      <c r="U537" s="78">
        <f t="shared" si="570"/>
        <v>62796</v>
      </c>
      <c r="V537" s="78"/>
      <c r="W537" s="78">
        <f t="shared" si="571"/>
        <v>62796</v>
      </c>
      <c r="X537" s="78"/>
      <c r="Y537" s="78">
        <f t="shared" si="572"/>
        <v>62796</v>
      </c>
      <c r="Z537" s="78"/>
      <c r="AA537" s="78">
        <f t="shared" si="573"/>
        <v>62796</v>
      </c>
      <c r="AB537" s="78"/>
      <c r="AC537" s="78">
        <f t="shared" si="574"/>
        <v>62796</v>
      </c>
      <c r="AD537" s="78"/>
      <c r="AE537" s="78">
        <f t="shared" si="575"/>
        <v>62796</v>
      </c>
      <c r="AF537" s="78">
        <f>-3185-9936+2775+4000</f>
        <v>-6346</v>
      </c>
      <c r="AG537" s="78">
        <f t="shared" si="576"/>
        <v>56450</v>
      </c>
      <c r="AH537" s="78"/>
      <c r="AI537" s="78">
        <f t="shared" si="577"/>
        <v>56450</v>
      </c>
      <c r="AJ537" s="78">
        <f>-5300-150-15</f>
        <v>-5465</v>
      </c>
      <c r="AK537" s="78">
        <f t="shared" si="578"/>
        <v>50985</v>
      </c>
      <c r="AL537" s="78"/>
      <c r="AM537" s="78">
        <f t="shared" si="579"/>
        <v>50985</v>
      </c>
      <c r="AN537" s="113"/>
      <c r="AO537" s="113"/>
      <c r="AP537" s="113"/>
    </row>
    <row r="538" spans="1:39" s="23" customFormat="1" ht="21" customHeight="1">
      <c r="A538" s="83"/>
      <c r="B538" s="79"/>
      <c r="C538" s="64">
        <v>4210</v>
      </c>
      <c r="D538" s="37" t="s">
        <v>91</v>
      </c>
      <c r="E538" s="78">
        <f>8500+1500+2100+3863</f>
        <v>15963</v>
      </c>
      <c r="F538" s="78">
        <v>6000</v>
      </c>
      <c r="G538" s="78">
        <f t="shared" si="580"/>
        <v>21963</v>
      </c>
      <c r="H538" s="78"/>
      <c r="I538" s="78">
        <f t="shared" si="581"/>
        <v>21963</v>
      </c>
      <c r="J538" s="78"/>
      <c r="K538" s="78">
        <f t="shared" si="582"/>
        <v>21963</v>
      </c>
      <c r="L538" s="78">
        <f>700+1500+6200+2000</f>
        <v>10400</v>
      </c>
      <c r="M538" s="78">
        <f t="shared" si="566"/>
        <v>32363</v>
      </c>
      <c r="N538" s="78"/>
      <c r="O538" s="78">
        <f t="shared" si="567"/>
        <v>32363</v>
      </c>
      <c r="P538" s="78"/>
      <c r="Q538" s="78">
        <f t="shared" si="568"/>
        <v>32363</v>
      </c>
      <c r="R538" s="78">
        <v>8409</v>
      </c>
      <c r="S538" s="78">
        <f t="shared" si="569"/>
        <v>40772</v>
      </c>
      <c r="T538" s="78">
        <v>-6309</v>
      </c>
      <c r="U538" s="78">
        <f t="shared" si="570"/>
        <v>34463</v>
      </c>
      <c r="V538" s="78"/>
      <c r="W538" s="78">
        <f t="shared" si="571"/>
        <v>34463</v>
      </c>
      <c r="X538" s="78"/>
      <c r="Y538" s="78">
        <f t="shared" si="572"/>
        <v>34463</v>
      </c>
      <c r="Z538" s="78"/>
      <c r="AA538" s="78">
        <f t="shared" si="573"/>
        <v>34463</v>
      </c>
      <c r="AB538" s="78"/>
      <c r="AC538" s="78">
        <f t="shared" si="574"/>
        <v>34463</v>
      </c>
      <c r="AD538" s="78"/>
      <c r="AE538" s="78">
        <f t="shared" si="575"/>
        <v>34463</v>
      </c>
      <c r="AF538" s="78">
        <f>-5236-5064</f>
        <v>-10300</v>
      </c>
      <c r="AG538" s="78">
        <f t="shared" si="576"/>
        <v>24163</v>
      </c>
      <c r="AH538" s="78"/>
      <c r="AI538" s="78">
        <f t="shared" si="577"/>
        <v>24163</v>
      </c>
      <c r="AJ538" s="78">
        <f>-2200-2000+2138+1800</f>
        <v>-262</v>
      </c>
      <c r="AK538" s="78">
        <f t="shared" si="578"/>
        <v>23901</v>
      </c>
      <c r="AL538" s="78"/>
      <c r="AM538" s="78">
        <f t="shared" si="579"/>
        <v>23901</v>
      </c>
    </row>
    <row r="539" spans="1:39" s="23" customFormat="1" ht="21" customHeight="1">
      <c r="A539" s="83"/>
      <c r="B539" s="79"/>
      <c r="C539" s="64">
        <v>4220</v>
      </c>
      <c r="D539" s="37" t="s">
        <v>178</v>
      </c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>
        <v>0</v>
      </c>
      <c r="T539" s="78">
        <v>6309</v>
      </c>
      <c r="U539" s="78">
        <f t="shared" si="570"/>
        <v>6309</v>
      </c>
      <c r="V539" s="78"/>
      <c r="W539" s="78">
        <f t="shared" si="571"/>
        <v>6309</v>
      </c>
      <c r="X539" s="78"/>
      <c r="Y539" s="78">
        <f t="shared" si="572"/>
        <v>6309</v>
      </c>
      <c r="Z539" s="78"/>
      <c r="AA539" s="78">
        <f t="shared" si="573"/>
        <v>6309</v>
      </c>
      <c r="AB539" s="78"/>
      <c r="AC539" s="78">
        <f t="shared" si="574"/>
        <v>6309</v>
      </c>
      <c r="AD539" s="78"/>
      <c r="AE539" s="78">
        <f t="shared" si="575"/>
        <v>6309</v>
      </c>
      <c r="AF539" s="78">
        <v>-6309</v>
      </c>
      <c r="AG539" s="78">
        <f t="shared" si="576"/>
        <v>0</v>
      </c>
      <c r="AH539" s="78"/>
      <c r="AI539" s="78">
        <f t="shared" si="577"/>
        <v>0</v>
      </c>
      <c r="AJ539" s="78">
        <v>1400</v>
      </c>
      <c r="AK539" s="78">
        <f t="shared" si="578"/>
        <v>1400</v>
      </c>
      <c r="AL539" s="78"/>
      <c r="AM539" s="78">
        <f t="shared" si="579"/>
        <v>1400</v>
      </c>
    </row>
    <row r="540" spans="1:39" s="23" customFormat="1" ht="21" customHeight="1">
      <c r="A540" s="83"/>
      <c r="B540" s="79"/>
      <c r="C540" s="64">
        <v>4260</v>
      </c>
      <c r="D540" s="37" t="s">
        <v>94</v>
      </c>
      <c r="E540" s="78">
        <v>1000</v>
      </c>
      <c r="F540" s="78"/>
      <c r="G540" s="78">
        <f t="shared" si="580"/>
        <v>1000</v>
      </c>
      <c r="H540" s="78"/>
      <c r="I540" s="78">
        <f t="shared" si="581"/>
        <v>1000</v>
      </c>
      <c r="J540" s="78"/>
      <c r="K540" s="78">
        <f t="shared" si="582"/>
        <v>1000</v>
      </c>
      <c r="L540" s="78"/>
      <c r="M540" s="78">
        <f t="shared" si="566"/>
        <v>1000</v>
      </c>
      <c r="N540" s="78"/>
      <c r="O540" s="78">
        <f t="shared" si="567"/>
        <v>1000</v>
      </c>
      <c r="P540" s="78"/>
      <c r="Q540" s="78">
        <f t="shared" si="568"/>
        <v>1000</v>
      </c>
      <c r="R540" s="78"/>
      <c r="S540" s="78">
        <f t="shared" si="569"/>
        <v>1000</v>
      </c>
      <c r="T540" s="78"/>
      <c r="U540" s="78">
        <f t="shared" si="570"/>
        <v>1000</v>
      </c>
      <c r="V540" s="78"/>
      <c r="W540" s="78">
        <f t="shared" si="571"/>
        <v>1000</v>
      </c>
      <c r="X540" s="78"/>
      <c r="Y540" s="78">
        <f t="shared" si="572"/>
        <v>1000</v>
      </c>
      <c r="Z540" s="78"/>
      <c r="AA540" s="78">
        <f t="shared" si="573"/>
        <v>1000</v>
      </c>
      <c r="AB540" s="78"/>
      <c r="AC540" s="78">
        <f t="shared" si="574"/>
        <v>1000</v>
      </c>
      <c r="AD540" s="78"/>
      <c r="AE540" s="78">
        <f t="shared" si="575"/>
        <v>1000</v>
      </c>
      <c r="AF540" s="78"/>
      <c r="AG540" s="78">
        <f t="shared" si="576"/>
        <v>1000</v>
      </c>
      <c r="AH540" s="78"/>
      <c r="AI540" s="78">
        <f t="shared" si="577"/>
        <v>1000</v>
      </c>
      <c r="AJ540" s="78">
        <v>-550</v>
      </c>
      <c r="AK540" s="78">
        <f t="shared" si="578"/>
        <v>450</v>
      </c>
      <c r="AL540" s="78"/>
      <c r="AM540" s="78">
        <f t="shared" si="579"/>
        <v>450</v>
      </c>
    </row>
    <row r="541" spans="1:39" s="23" customFormat="1" ht="21" customHeight="1">
      <c r="A541" s="83"/>
      <c r="B541" s="79"/>
      <c r="C541" s="83">
        <v>4300</v>
      </c>
      <c r="D541" s="86" t="s">
        <v>78</v>
      </c>
      <c r="E541" s="78">
        <f>8500+1500+1740+1200</f>
        <v>12940</v>
      </c>
      <c r="F541" s="78"/>
      <c r="G541" s="78">
        <f t="shared" si="580"/>
        <v>12940</v>
      </c>
      <c r="H541" s="78"/>
      <c r="I541" s="78">
        <f t="shared" si="581"/>
        <v>12940</v>
      </c>
      <c r="J541" s="78"/>
      <c r="K541" s="78">
        <f t="shared" si="582"/>
        <v>12940</v>
      </c>
      <c r="L541" s="78">
        <f>4914+1964</f>
        <v>6878</v>
      </c>
      <c r="M541" s="78">
        <f t="shared" si="566"/>
        <v>19818</v>
      </c>
      <c r="N541" s="78"/>
      <c r="O541" s="78">
        <f t="shared" si="567"/>
        <v>19818</v>
      </c>
      <c r="P541" s="78"/>
      <c r="Q541" s="78">
        <f t="shared" si="568"/>
        <v>19818</v>
      </c>
      <c r="R541" s="78">
        <v>2782</v>
      </c>
      <c r="S541" s="78">
        <f t="shared" si="569"/>
        <v>22600</v>
      </c>
      <c r="T541" s="78"/>
      <c r="U541" s="78">
        <f t="shared" si="570"/>
        <v>22600</v>
      </c>
      <c r="V541" s="78"/>
      <c r="W541" s="78">
        <f t="shared" si="571"/>
        <v>22600</v>
      </c>
      <c r="X541" s="78"/>
      <c r="Y541" s="78">
        <f t="shared" si="572"/>
        <v>22600</v>
      </c>
      <c r="Z541" s="78"/>
      <c r="AA541" s="78">
        <f t="shared" si="573"/>
        <v>22600</v>
      </c>
      <c r="AB541" s="78"/>
      <c r="AC541" s="78">
        <f t="shared" si="574"/>
        <v>22600</v>
      </c>
      <c r="AD541" s="78"/>
      <c r="AE541" s="78">
        <f t="shared" si="575"/>
        <v>22600</v>
      </c>
      <c r="AF541" s="78">
        <f>-4660-5000</f>
        <v>-9660</v>
      </c>
      <c r="AG541" s="78">
        <f t="shared" si="576"/>
        <v>12940</v>
      </c>
      <c r="AH541" s="78"/>
      <c r="AI541" s="78">
        <f t="shared" si="577"/>
        <v>12940</v>
      </c>
      <c r="AJ541" s="78">
        <f>2200+2000-87+2100</f>
        <v>6213</v>
      </c>
      <c r="AK541" s="78">
        <f t="shared" si="578"/>
        <v>19153</v>
      </c>
      <c r="AL541" s="78"/>
      <c r="AM541" s="78">
        <f t="shared" si="579"/>
        <v>19153</v>
      </c>
    </row>
    <row r="542" spans="1:39" s="23" customFormat="1" ht="21" customHeight="1">
      <c r="A542" s="83"/>
      <c r="B542" s="79"/>
      <c r="C542" s="83">
        <v>4780</v>
      </c>
      <c r="D542" s="86" t="s">
        <v>385</v>
      </c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>
        <v>0</v>
      </c>
      <c r="R542" s="78">
        <v>48</v>
      </c>
      <c r="S542" s="78">
        <f t="shared" si="569"/>
        <v>48</v>
      </c>
      <c r="T542" s="78"/>
      <c r="U542" s="78">
        <f t="shared" si="570"/>
        <v>48</v>
      </c>
      <c r="V542" s="78"/>
      <c r="W542" s="78">
        <f t="shared" si="571"/>
        <v>48</v>
      </c>
      <c r="X542" s="78"/>
      <c r="Y542" s="78">
        <f t="shared" si="572"/>
        <v>48</v>
      </c>
      <c r="Z542" s="78"/>
      <c r="AA542" s="78">
        <f t="shared" si="573"/>
        <v>48</v>
      </c>
      <c r="AB542" s="78"/>
      <c r="AC542" s="78">
        <f t="shared" si="574"/>
        <v>48</v>
      </c>
      <c r="AD542" s="78"/>
      <c r="AE542" s="78">
        <f t="shared" si="575"/>
        <v>48</v>
      </c>
      <c r="AF542" s="78">
        <f>-48+60</f>
        <v>12</v>
      </c>
      <c r="AG542" s="78">
        <f t="shared" si="576"/>
        <v>60</v>
      </c>
      <c r="AH542" s="78"/>
      <c r="AI542" s="78">
        <f t="shared" si="577"/>
        <v>60</v>
      </c>
      <c r="AJ542" s="78">
        <v>15</v>
      </c>
      <c r="AK542" s="78">
        <f t="shared" si="578"/>
        <v>75</v>
      </c>
      <c r="AL542" s="78"/>
      <c r="AM542" s="78">
        <f t="shared" si="579"/>
        <v>75</v>
      </c>
    </row>
    <row r="543" spans="1:39" s="23" customFormat="1" ht="21" customHeight="1">
      <c r="A543" s="83"/>
      <c r="B543" s="64">
        <v>92695</v>
      </c>
      <c r="C543" s="83"/>
      <c r="D543" s="86" t="s">
        <v>6</v>
      </c>
      <c r="E543" s="78">
        <f aca="true" t="shared" si="583" ref="E543:W543">SUM(E545:E547)</f>
        <v>10605</v>
      </c>
      <c r="F543" s="78">
        <f t="shared" si="583"/>
        <v>0</v>
      </c>
      <c r="G543" s="78">
        <f t="shared" si="583"/>
        <v>10605</v>
      </c>
      <c r="H543" s="78">
        <f t="shared" si="583"/>
        <v>0</v>
      </c>
      <c r="I543" s="78">
        <f t="shared" si="583"/>
        <v>10605</v>
      </c>
      <c r="J543" s="78">
        <f t="shared" si="583"/>
        <v>0</v>
      </c>
      <c r="K543" s="78">
        <f t="shared" si="583"/>
        <v>10605</v>
      </c>
      <c r="L543" s="78">
        <f t="shared" si="583"/>
        <v>0</v>
      </c>
      <c r="M543" s="78">
        <f t="shared" si="583"/>
        <v>10605</v>
      </c>
      <c r="N543" s="78">
        <f t="shared" si="583"/>
        <v>0</v>
      </c>
      <c r="O543" s="78">
        <f t="shared" si="583"/>
        <v>10605</v>
      </c>
      <c r="P543" s="78">
        <f t="shared" si="583"/>
        <v>0</v>
      </c>
      <c r="Q543" s="78">
        <f t="shared" si="583"/>
        <v>10605</v>
      </c>
      <c r="R543" s="78">
        <f t="shared" si="583"/>
        <v>0</v>
      </c>
      <c r="S543" s="78">
        <f t="shared" si="583"/>
        <v>10605</v>
      </c>
      <c r="T543" s="78">
        <f t="shared" si="583"/>
        <v>0</v>
      </c>
      <c r="U543" s="78">
        <f t="shared" si="583"/>
        <v>10605</v>
      </c>
      <c r="V543" s="78">
        <f t="shared" si="583"/>
        <v>0</v>
      </c>
      <c r="W543" s="78">
        <f t="shared" si="583"/>
        <v>10605</v>
      </c>
      <c r="X543" s="78">
        <f aca="true" t="shared" si="584" ref="X543:AC543">SUM(X545:X547)</f>
        <v>0</v>
      </c>
      <c r="Y543" s="78">
        <f t="shared" si="584"/>
        <v>10605</v>
      </c>
      <c r="Z543" s="78">
        <f t="shared" si="584"/>
        <v>0</v>
      </c>
      <c r="AA543" s="78">
        <f t="shared" si="584"/>
        <v>10605</v>
      </c>
      <c r="AB543" s="78">
        <f t="shared" si="584"/>
        <v>0</v>
      </c>
      <c r="AC543" s="78">
        <f t="shared" si="584"/>
        <v>10605</v>
      </c>
      <c r="AD543" s="78">
        <f>SUM(AD545:AD547)</f>
        <v>0</v>
      </c>
      <c r="AE543" s="78">
        <f aca="true" t="shared" si="585" ref="AE543:AK543">SUM(AE544:AE547)</f>
        <v>10605</v>
      </c>
      <c r="AF543" s="78">
        <f t="shared" si="585"/>
        <v>40000</v>
      </c>
      <c r="AG543" s="78">
        <f t="shared" si="585"/>
        <v>50605</v>
      </c>
      <c r="AH543" s="78">
        <f t="shared" si="585"/>
        <v>0</v>
      </c>
      <c r="AI543" s="78">
        <f t="shared" si="585"/>
        <v>50605</v>
      </c>
      <c r="AJ543" s="78">
        <f t="shared" si="585"/>
        <v>-355</v>
      </c>
      <c r="AK543" s="78">
        <f t="shared" si="585"/>
        <v>50250</v>
      </c>
      <c r="AL543" s="78">
        <f>SUM(AL544:AL547)</f>
        <v>0</v>
      </c>
      <c r="AM543" s="78">
        <f>SUM(AM544:AM547)</f>
        <v>50250</v>
      </c>
    </row>
    <row r="544" spans="1:42" s="23" customFormat="1" ht="21" customHeight="1">
      <c r="A544" s="83"/>
      <c r="B544" s="64"/>
      <c r="C544" s="83">
        <v>4170</v>
      </c>
      <c r="D544" s="37" t="s">
        <v>192</v>
      </c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>
        <v>0</v>
      </c>
      <c r="AF544" s="78">
        <f>9936+3795</f>
        <v>13731</v>
      </c>
      <c r="AG544" s="78">
        <f>SUM(AE544:AF544)</f>
        <v>13731</v>
      </c>
      <c r="AH544" s="78"/>
      <c r="AI544" s="78">
        <f>SUM(AG544:AH544)</f>
        <v>13731</v>
      </c>
      <c r="AJ544" s="78"/>
      <c r="AK544" s="78">
        <f>SUM(AI544:AJ544)</f>
        <v>13731</v>
      </c>
      <c r="AL544" s="78"/>
      <c r="AM544" s="78">
        <f>SUM(AK544:AL544)</f>
        <v>13731</v>
      </c>
      <c r="AN544" s="113"/>
      <c r="AO544" s="113"/>
      <c r="AP544" s="113"/>
    </row>
    <row r="545" spans="1:39" s="23" customFormat="1" ht="21" customHeight="1">
      <c r="A545" s="83"/>
      <c r="B545" s="64"/>
      <c r="C545" s="64">
        <v>4210</v>
      </c>
      <c r="D545" s="37" t="s">
        <v>91</v>
      </c>
      <c r="E545" s="78">
        <f>6250+2655</f>
        <v>8905</v>
      </c>
      <c r="F545" s="78"/>
      <c r="G545" s="78">
        <f>SUM(E545:F545)</f>
        <v>8905</v>
      </c>
      <c r="H545" s="78"/>
      <c r="I545" s="78">
        <f>SUM(G545:H545)</f>
        <v>8905</v>
      </c>
      <c r="J545" s="78"/>
      <c r="K545" s="78">
        <f>SUM(I545:J545)</f>
        <v>8905</v>
      </c>
      <c r="L545" s="78"/>
      <c r="M545" s="78">
        <f>SUM(K545:L545)</f>
        <v>8905</v>
      </c>
      <c r="N545" s="78"/>
      <c r="O545" s="78">
        <f>SUM(M545:N545)</f>
        <v>8905</v>
      </c>
      <c r="P545" s="78"/>
      <c r="Q545" s="78">
        <f>SUM(O545:P545)</f>
        <v>8905</v>
      </c>
      <c r="R545" s="78"/>
      <c r="S545" s="78">
        <f>SUM(Q545:R545)</f>
        <v>8905</v>
      </c>
      <c r="T545" s="78"/>
      <c r="U545" s="78">
        <f>SUM(S545:T545)</f>
        <v>8905</v>
      </c>
      <c r="V545" s="78"/>
      <c r="W545" s="78">
        <f>SUM(U545:V545)</f>
        <v>8905</v>
      </c>
      <c r="X545" s="78"/>
      <c r="Y545" s="78">
        <f>SUM(W545:X545)</f>
        <v>8905</v>
      </c>
      <c r="Z545" s="78"/>
      <c r="AA545" s="78">
        <f>SUM(Y545:Z545)</f>
        <v>8905</v>
      </c>
      <c r="AB545" s="78"/>
      <c r="AC545" s="78">
        <f>SUM(AA545:AB545)</f>
        <v>8905</v>
      </c>
      <c r="AD545" s="78">
        <f>-85-255</f>
        <v>-340</v>
      </c>
      <c r="AE545" s="78">
        <f>SUM(AC545:AD545)</f>
        <v>8565</v>
      </c>
      <c r="AF545" s="78">
        <f>5064+5236</f>
        <v>10300</v>
      </c>
      <c r="AG545" s="78">
        <f>SUM(AE545:AF545)</f>
        <v>18865</v>
      </c>
      <c r="AH545" s="78"/>
      <c r="AI545" s="78">
        <f>SUM(AG545:AH545)</f>
        <v>18865</v>
      </c>
      <c r="AJ545" s="78">
        <v>-155</v>
      </c>
      <c r="AK545" s="78">
        <f>SUM(AI545:AJ545)</f>
        <v>18710</v>
      </c>
      <c r="AL545" s="78"/>
      <c r="AM545" s="78">
        <f>SUM(AK545:AL545)</f>
        <v>18710</v>
      </c>
    </row>
    <row r="546" spans="1:39" s="23" customFormat="1" ht="21" customHeight="1">
      <c r="A546" s="83"/>
      <c r="B546" s="64"/>
      <c r="C546" s="64">
        <v>4220</v>
      </c>
      <c r="D546" s="37" t="s">
        <v>178</v>
      </c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>
        <v>0</v>
      </c>
      <c r="AF546" s="78">
        <v>6309</v>
      </c>
      <c r="AG546" s="78">
        <f>SUM(AE546:AF546)</f>
        <v>6309</v>
      </c>
      <c r="AH546" s="78"/>
      <c r="AI546" s="78">
        <f>SUM(AG546:AH546)</f>
        <v>6309</v>
      </c>
      <c r="AJ546" s="78"/>
      <c r="AK546" s="78">
        <f>SUM(AI546:AJ546)</f>
        <v>6309</v>
      </c>
      <c r="AL546" s="78"/>
      <c r="AM546" s="78">
        <f>SUM(AK546:AL546)</f>
        <v>6309</v>
      </c>
    </row>
    <row r="547" spans="1:39" s="23" customFormat="1" ht="21" customHeight="1">
      <c r="A547" s="83"/>
      <c r="B547" s="64"/>
      <c r="C547" s="64">
        <v>4300</v>
      </c>
      <c r="D547" s="86" t="s">
        <v>78</v>
      </c>
      <c r="E547" s="78">
        <v>1700</v>
      </c>
      <c r="F547" s="78"/>
      <c r="G547" s="78">
        <f>SUM(E547:F547)</f>
        <v>1700</v>
      </c>
      <c r="H547" s="78"/>
      <c r="I547" s="78">
        <f>SUM(G547:H547)</f>
        <v>1700</v>
      </c>
      <c r="J547" s="78"/>
      <c r="K547" s="78">
        <f>SUM(I547:J547)</f>
        <v>1700</v>
      </c>
      <c r="L547" s="78"/>
      <c r="M547" s="78">
        <f>SUM(K547:L547)</f>
        <v>1700</v>
      </c>
      <c r="N547" s="78"/>
      <c r="O547" s="78">
        <f>SUM(M547:N547)</f>
        <v>1700</v>
      </c>
      <c r="P547" s="78"/>
      <c r="Q547" s="78">
        <f>SUM(O547:P547)</f>
        <v>1700</v>
      </c>
      <c r="R547" s="78"/>
      <c r="S547" s="78">
        <f>SUM(Q547:R547)</f>
        <v>1700</v>
      </c>
      <c r="T547" s="78"/>
      <c r="U547" s="78">
        <f>SUM(S547:T547)</f>
        <v>1700</v>
      </c>
      <c r="V547" s="78"/>
      <c r="W547" s="78">
        <f>SUM(U547:V547)</f>
        <v>1700</v>
      </c>
      <c r="X547" s="78"/>
      <c r="Y547" s="78">
        <f>SUM(W547:X547)</f>
        <v>1700</v>
      </c>
      <c r="Z547" s="78"/>
      <c r="AA547" s="78">
        <f>SUM(Y547:Z547)</f>
        <v>1700</v>
      </c>
      <c r="AB547" s="78"/>
      <c r="AC547" s="78">
        <f>SUM(AA547:AB547)</f>
        <v>1700</v>
      </c>
      <c r="AD547" s="78">
        <f>85+255</f>
        <v>340</v>
      </c>
      <c r="AE547" s="78">
        <f>SUM(AC547:AD547)</f>
        <v>2040</v>
      </c>
      <c r="AF547" s="78">
        <f>5000+4660</f>
        <v>9660</v>
      </c>
      <c r="AG547" s="78">
        <f>SUM(AE547:AF547)</f>
        <v>11700</v>
      </c>
      <c r="AH547" s="78"/>
      <c r="AI547" s="78">
        <f>SUM(AG547:AH547)</f>
        <v>11700</v>
      </c>
      <c r="AJ547" s="78">
        <v>-200</v>
      </c>
      <c r="AK547" s="78">
        <f>SUM(AI547:AJ547)</f>
        <v>11500</v>
      </c>
      <c r="AL547" s="78"/>
      <c r="AM547" s="78">
        <f>SUM(AK547:AL547)</f>
        <v>11500</v>
      </c>
    </row>
    <row r="548" spans="1:42" s="6" customFormat="1" ht="20.25" customHeight="1">
      <c r="A548" s="8"/>
      <c r="B548" s="8"/>
      <c r="C548" s="8"/>
      <c r="D548" s="34" t="s">
        <v>67</v>
      </c>
      <c r="E548" s="36">
        <f aca="true" t="shared" si="586" ref="E548:AE548">SUM(E525,E508,E477,E451,E372,E355,E245,E239,E236,E226,E178,E147,E65,E56,E35,E25,E7,E437)</f>
        <v>64069780</v>
      </c>
      <c r="F548" s="36">
        <f t="shared" si="586"/>
        <v>0</v>
      </c>
      <c r="G548" s="36">
        <f t="shared" si="586"/>
        <v>64069780</v>
      </c>
      <c r="H548" s="36">
        <f t="shared" si="586"/>
        <v>530000</v>
      </c>
      <c r="I548" s="36">
        <f t="shared" si="586"/>
        <v>64599780</v>
      </c>
      <c r="J548" s="36">
        <f t="shared" si="586"/>
        <v>-73</v>
      </c>
      <c r="K548" s="36">
        <f t="shared" si="586"/>
        <v>64599707</v>
      </c>
      <c r="L548" s="36">
        <f t="shared" si="586"/>
        <v>-51671</v>
      </c>
      <c r="M548" s="36">
        <f t="shared" si="586"/>
        <v>64548036</v>
      </c>
      <c r="N548" s="36">
        <f t="shared" si="586"/>
        <v>436012</v>
      </c>
      <c r="O548" s="36">
        <f t="shared" si="586"/>
        <v>64984048</v>
      </c>
      <c r="P548" s="36">
        <f t="shared" si="586"/>
        <v>158567</v>
      </c>
      <c r="Q548" s="36">
        <f t="shared" si="586"/>
        <v>65142615</v>
      </c>
      <c r="R548" s="36">
        <f t="shared" si="586"/>
        <v>354691</v>
      </c>
      <c r="S548" s="36">
        <f t="shared" si="586"/>
        <v>65497306</v>
      </c>
      <c r="T548" s="36">
        <f t="shared" si="586"/>
        <v>21375</v>
      </c>
      <c r="U548" s="36">
        <f t="shared" si="586"/>
        <v>65518681</v>
      </c>
      <c r="V548" s="36">
        <f t="shared" si="586"/>
        <v>69000</v>
      </c>
      <c r="W548" s="36">
        <f t="shared" si="586"/>
        <v>65587681</v>
      </c>
      <c r="X548" s="36">
        <f t="shared" si="586"/>
        <v>109494</v>
      </c>
      <c r="Y548" s="36">
        <f t="shared" si="586"/>
        <v>65697175</v>
      </c>
      <c r="Z548" s="36">
        <f t="shared" si="586"/>
        <v>187544</v>
      </c>
      <c r="AA548" s="36">
        <f t="shared" si="586"/>
        <v>65884719</v>
      </c>
      <c r="AB548" s="36">
        <f t="shared" si="586"/>
        <v>0</v>
      </c>
      <c r="AC548" s="36">
        <f t="shared" si="586"/>
        <v>65884719</v>
      </c>
      <c r="AD548" s="36">
        <f t="shared" si="586"/>
        <v>824768</v>
      </c>
      <c r="AE548" s="36">
        <f t="shared" si="586"/>
        <v>66709487</v>
      </c>
      <c r="AF548" s="36">
        <f aca="true" t="shared" si="587" ref="AF548:AK548">SUM(AF525,AF508,AF477,AF451,AF372,AF355,AF245,AF239,AF236,AF226,AF178,AF147,AF65,AF56,AF35,AF25,AF7,AF437)</f>
        <v>375985</v>
      </c>
      <c r="AG548" s="36">
        <f t="shared" si="587"/>
        <v>67085472</v>
      </c>
      <c r="AH548" s="36">
        <f t="shared" si="587"/>
        <v>0</v>
      </c>
      <c r="AI548" s="36">
        <f t="shared" si="587"/>
        <v>67085472</v>
      </c>
      <c r="AJ548" s="36">
        <f t="shared" si="587"/>
        <v>597771</v>
      </c>
      <c r="AK548" s="36">
        <f t="shared" si="587"/>
        <v>67683243</v>
      </c>
      <c r="AL548" s="36">
        <f>SUM(AL525,AL508,AL477,AL451,AL372,AL355,AL245,AL239,AL236,AL226,AL178,AL147,AL65,AL56,AL35,AL25,AL7,AL437)</f>
        <v>614781</v>
      </c>
      <c r="AM548" s="36">
        <f>SUM(AM525,AM508,AM477,AM451,AM372,AM355,AM245,AM239,AM236,AM226,AM178,AM147,AM65,AM56,AM35,AM25,AM7,AM437)</f>
        <v>68298024</v>
      </c>
      <c r="AN548" s="234"/>
      <c r="AO548" s="234"/>
      <c r="AP548" s="234"/>
    </row>
    <row r="549" spans="1:39" s="6" customFormat="1" ht="20.25" customHeight="1">
      <c r="A549" s="8"/>
      <c r="B549" s="8"/>
      <c r="C549" s="8"/>
      <c r="D549" s="227"/>
      <c r="E549" s="228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  <c r="AA549" s="228"/>
      <c r="AB549" s="228"/>
      <c r="AC549" s="228"/>
      <c r="AD549" s="228"/>
      <c r="AE549" s="228"/>
      <c r="AF549" s="228"/>
      <c r="AG549" s="228"/>
      <c r="AH549" s="228"/>
      <c r="AI549" s="228"/>
      <c r="AJ549" s="228"/>
      <c r="AK549" s="228"/>
      <c r="AL549" s="228"/>
      <c r="AM549" s="228"/>
    </row>
    <row r="550" spans="1:39" s="6" customFormat="1" ht="20.25" customHeight="1">
      <c r="A550" s="8"/>
      <c r="B550" s="8"/>
      <c r="C550" s="8"/>
      <c r="D550" s="227"/>
      <c r="E550" s="228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  <c r="AA550" s="228"/>
      <c r="AB550" s="228"/>
      <c r="AC550" s="228"/>
      <c r="AD550" s="228"/>
      <c r="AE550" s="228"/>
      <c r="AF550" s="228"/>
      <c r="AG550" s="228"/>
      <c r="AH550" s="228"/>
      <c r="AI550" s="228"/>
      <c r="AJ550" s="228"/>
      <c r="AK550" s="228"/>
      <c r="AL550" s="228"/>
      <c r="AM550" s="228"/>
    </row>
    <row r="551" spans="1:39" s="6" customFormat="1" ht="20.25" customHeight="1">
      <c r="A551" s="8"/>
      <c r="B551" s="8"/>
      <c r="C551" s="8"/>
      <c r="D551" s="227"/>
      <c r="E551" s="228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  <c r="AA551" s="228"/>
      <c r="AB551" s="228"/>
      <c r="AC551" s="228"/>
      <c r="AD551" s="228"/>
      <c r="AE551" s="228"/>
      <c r="AF551" s="228"/>
      <c r="AG551" s="228"/>
      <c r="AH551" s="228"/>
      <c r="AI551" s="228"/>
      <c r="AJ551" s="228"/>
      <c r="AK551" s="228"/>
      <c r="AL551" s="228"/>
      <c r="AM551" s="228"/>
    </row>
    <row r="552" spans="1:39" ht="12.75">
      <c r="A552" s="53"/>
      <c r="B552" s="53"/>
      <c r="C552" s="53"/>
      <c r="D552" s="53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231"/>
      <c r="AG552" s="231"/>
      <c r="AH552" s="231"/>
      <c r="AI552" s="231"/>
      <c r="AJ552" s="162"/>
      <c r="AK552" s="231"/>
      <c r="AL552" s="162"/>
      <c r="AM552" s="231"/>
    </row>
    <row r="553" spans="4:40" ht="12.75">
      <c r="D553" s="53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231"/>
      <c r="AG553" s="231"/>
      <c r="AH553" s="231"/>
      <c r="AI553" s="231"/>
      <c r="AJ553" s="162"/>
      <c r="AK553" s="231"/>
      <c r="AL553" s="162"/>
      <c r="AM553" s="231"/>
      <c r="AN553" s="141"/>
    </row>
    <row r="554" spans="4:39" ht="12.75">
      <c r="D554" s="53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</row>
    <row r="555" spans="4:39" ht="12.75">
      <c r="D555" s="53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</row>
    <row r="556" spans="1:39" s="20" customFormat="1" ht="12.75">
      <c r="A556" s="22"/>
      <c r="B556" s="22"/>
      <c r="C556" s="22"/>
      <c r="D556" s="22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</row>
    <row r="557" spans="1:39" s="20" customFormat="1" ht="12.75">
      <c r="A557" s="22"/>
      <c r="B557" s="22"/>
      <c r="C557" s="22"/>
      <c r="D557" s="22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</row>
    <row r="558" spans="1:39" s="20" customFormat="1" ht="12.75">
      <c r="A558" s="22"/>
      <c r="B558" s="22"/>
      <c r="C558" s="22"/>
      <c r="D558" s="22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</row>
    <row r="559" spans="1:39" s="233" customFormat="1" ht="12.75">
      <c r="A559" s="232"/>
      <c r="B559" s="232"/>
      <c r="C559" s="232"/>
      <c r="D559" s="232"/>
      <c r="E559" s="218"/>
      <c r="F559" s="218"/>
      <c r="G559" s="218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"/>
      <c r="AK559" s="218"/>
      <c r="AL559" s="21"/>
      <c r="AM559" s="218"/>
    </row>
    <row r="560" spans="1:39" s="20" customFormat="1" ht="12.75">
      <c r="A560" s="22"/>
      <c r="B560" s="22"/>
      <c r="C560" s="22"/>
      <c r="D560" s="22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183"/>
      <c r="S560" s="21"/>
      <c r="T560" s="183"/>
      <c r="U560" s="21"/>
      <c r="V560" s="218"/>
      <c r="W560" s="21"/>
      <c r="X560" s="218"/>
      <c r="Y560" s="21"/>
      <c r="Z560" s="218"/>
      <c r="AA560" s="21"/>
      <c r="AB560" s="218"/>
      <c r="AC560" s="21"/>
      <c r="AD560" s="218"/>
      <c r="AE560" s="21"/>
      <c r="AF560" s="218"/>
      <c r="AG560" s="21"/>
      <c r="AH560" s="218"/>
      <c r="AI560" s="21"/>
      <c r="AJ560" s="21"/>
      <c r="AK560" s="21"/>
      <c r="AL560" s="21"/>
      <c r="AM560" s="21"/>
    </row>
    <row r="561" spans="1:39" s="20" customFormat="1" ht="12.75">
      <c r="A561" s="22"/>
      <c r="B561" s="22"/>
      <c r="C561" s="22"/>
      <c r="D561" s="22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183"/>
      <c r="S561" s="21"/>
      <c r="T561" s="183"/>
      <c r="U561" s="21"/>
      <c r="V561" s="218"/>
      <c r="W561" s="21"/>
      <c r="X561" s="218"/>
      <c r="Y561" s="21"/>
      <c r="Z561" s="218"/>
      <c r="AA561" s="21"/>
      <c r="AB561" s="218"/>
      <c r="AC561" s="21"/>
      <c r="AD561" s="218"/>
      <c r="AE561" s="21"/>
      <c r="AF561" s="218"/>
      <c r="AG561" s="21"/>
      <c r="AH561" s="218"/>
      <c r="AI561" s="21"/>
      <c r="AJ561" s="21"/>
      <c r="AK561" s="21"/>
      <c r="AL561" s="21"/>
      <c r="AM561" s="21"/>
    </row>
    <row r="562" spans="1:39" s="20" customFormat="1" ht="12.75">
      <c r="A562" s="22"/>
      <c r="B562" s="22"/>
      <c r="C562" s="22"/>
      <c r="D562" s="22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183"/>
      <c r="S562" s="21"/>
      <c r="T562" s="183"/>
      <c r="U562" s="21"/>
      <c r="V562" s="218"/>
      <c r="W562" s="21"/>
      <c r="X562" s="218"/>
      <c r="Y562" s="21"/>
      <c r="Z562" s="218"/>
      <c r="AA562" s="21"/>
      <c r="AB562" s="218"/>
      <c r="AC562" s="21"/>
      <c r="AD562" s="218"/>
      <c r="AE562" s="21"/>
      <c r="AF562" s="218"/>
      <c r="AG562" s="21"/>
      <c r="AH562" s="218"/>
      <c r="AI562" s="21"/>
      <c r="AJ562" s="21"/>
      <c r="AK562" s="21"/>
      <c r="AL562" s="21"/>
      <c r="AM562" s="21"/>
    </row>
    <row r="563" spans="1:39" s="20" customFormat="1" ht="12.75">
      <c r="A563" s="22"/>
      <c r="B563" s="22"/>
      <c r="C563" s="22"/>
      <c r="D563" s="22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183"/>
      <c r="S563" s="21"/>
      <c r="T563" s="183"/>
      <c r="U563" s="21"/>
      <c r="V563" s="218"/>
      <c r="W563" s="21"/>
      <c r="X563" s="218"/>
      <c r="Y563" s="21"/>
      <c r="Z563" s="218"/>
      <c r="AA563" s="21"/>
      <c r="AB563" s="218"/>
      <c r="AC563" s="21"/>
      <c r="AD563" s="218"/>
      <c r="AE563" s="21"/>
      <c r="AF563" s="218"/>
      <c r="AG563" s="21"/>
      <c r="AH563" s="218"/>
      <c r="AI563" s="21"/>
      <c r="AJ563" s="21"/>
      <c r="AK563" s="21"/>
      <c r="AL563" s="21"/>
      <c r="AM563" s="21"/>
    </row>
    <row r="564" spans="1:39" s="20" customFormat="1" ht="12.75">
      <c r="A564" s="22"/>
      <c r="B564" s="22"/>
      <c r="C564" s="22"/>
      <c r="D564" s="22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183"/>
      <c r="S564" s="21"/>
      <c r="T564" s="183"/>
      <c r="U564" s="21"/>
      <c r="V564" s="218"/>
      <c r="W564" s="21"/>
      <c r="X564" s="218"/>
      <c r="Y564" s="21"/>
      <c r="Z564" s="218"/>
      <c r="AA564" s="21"/>
      <c r="AB564" s="218"/>
      <c r="AC564" s="21"/>
      <c r="AD564" s="218"/>
      <c r="AE564" s="21"/>
      <c r="AF564" s="218"/>
      <c r="AG564" s="21"/>
      <c r="AH564" s="218"/>
      <c r="AI564" s="21"/>
      <c r="AJ564" s="21"/>
      <c r="AK564" s="21"/>
      <c r="AL564" s="21"/>
      <c r="AM564" s="21"/>
    </row>
    <row r="565" spans="1:39" s="20" customFormat="1" ht="12.75">
      <c r="A565" s="22"/>
      <c r="B565" s="22"/>
      <c r="C565" s="22"/>
      <c r="D565" s="22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183"/>
      <c r="S565" s="21"/>
      <c r="T565" s="183"/>
      <c r="U565" s="21"/>
      <c r="V565" s="218"/>
      <c r="W565" s="21"/>
      <c r="X565" s="218"/>
      <c r="Y565" s="21"/>
      <c r="Z565" s="218"/>
      <c r="AA565" s="21"/>
      <c r="AB565" s="218"/>
      <c r="AC565" s="21"/>
      <c r="AD565" s="218"/>
      <c r="AE565" s="21"/>
      <c r="AF565" s="218"/>
      <c r="AG565" s="21"/>
      <c r="AH565" s="218"/>
      <c r="AI565" s="21"/>
      <c r="AJ565" s="21"/>
      <c r="AK565" s="21"/>
      <c r="AL565" s="21"/>
      <c r="AM565" s="21"/>
    </row>
    <row r="566" spans="1:39" s="20" customFormat="1" ht="12.75">
      <c r="A566" s="22"/>
      <c r="B566" s="22"/>
      <c r="C566" s="22"/>
      <c r="D566" s="22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183"/>
      <c r="S566" s="21"/>
      <c r="T566" s="183"/>
      <c r="U566" s="21"/>
      <c r="V566" s="218"/>
      <c r="W566" s="21"/>
      <c r="X566" s="218"/>
      <c r="Y566" s="21"/>
      <c r="Z566" s="218"/>
      <c r="AA566" s="21"/>
      <c r="AB566" s="218"/>
      <c r="AC566" s="21"/>
      <c r="AD566" s="218"/>
      <c r="AE566" s="21"/>
      <c r="AF566" s="218"/>
      <c r="AG566" s="21"/>
      <c r="AH566" s="218"/>
      <c r="AI566" s="21"/>
      <c r="AJ566" s="21"/>
      <c r="AK566" s="21"/>
      <c r="AL566" s="21"/>
      <c r="AM566" s="21"/>
    </row>
    <row r="567" spans="1:39" s="20" customFormat="1" ht="12.75">
      <c r="A567" s="22"/>
      <c r="B567" s="22"/>
      <c r="C567" s="22"/>
      <c r="D567" s="22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183"/>
      <c r="S567" s="21"/>
      <c r="T567" s="183"/>
      <c r="U567" s="21"/>
      <c r="V567" s="218"/>
      <c r="W567" s="21"/>
      <c r="X567" s="218"/>
      <c r="Y567" s="21"/>
      <c r="Z567" s="218"/>
      <c r="AA567" s="21"/>
      <c r="AB567" s="218"/>
      <c r="AC567" s="21"/>
      <c r="AD567" s="218"/>
      <c r="AE567" s="21"/>
      <c r="AF567" s="218"/>
      <c r="AG567" s="21"/>
      <c r="AH567" s="218"/>
      <c r="AI567" s="21"/>
      <c r="AJ567" s="21"/>
      <c r="AK567" s="21"/>
      <c r="AL567" s="21"/>
      <c r="AM567" s="21"/>
    </row>
    <row r="568" spans="1:39" s="20" customFormat="1" ht="12.75">
      <c r="A568" s="22"/>
      <c r="B568" s="22"/>
      <c r="C568" s="22"/>
      <c r="D568" s="22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183"/>
      <c r="S568" s="21"/>
      <c r="T568" s="183"/>
      <c r="U568" s="21"/>
      <c r="V568" s="218"/>
      <c r="W568" s="21"/>
      <c r="X568" s="218"/>
      <c r="Y568" s="21"/>
      <c r="Z568" s="218"/>
      <c r="AA568" s="21"/>
      <c r="AB568" s="218"/>
      <c r="AC568" s="21"/>
      <c r="AD568" s="218"/>
      <c r="AE568" s="21"/>
      <c r="AF568" s="218"/>
      <c r="AG568" s="21"/>
      <c r="AH568" s="218"/>
      <c r="AI568" s="21"/>
      <c r="AJ568" s="21"/>
      <c r="AK568" s="21"/>
      <c r="AL568" s="21"/>
      <c r="AM568" s="21"/>
    </row>
    <row r="569" spans="1:39" s="20" customFormat="1" ht="12.75">
      <c r="A569" s="22"/>
      <c r="B569" s="22"/>
      <c r="C569" s="22"/>
      <c r="D569" s="22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183"/>
      <c r="S569" s="21"/>
      <c r="T569" s="183"/>
      <c r="U569" s="21"/>
      <c r="V569" s="218"/>
      <c r="W569" s="21"/>
      <c r="X569" s="218"/>
      <c r="Y569" s="21"/>
      <c r="Z569" s="218"/>
      <c r="AA569" s="21"/>
      <c r="AB569" s="218"/>
      <c r="AC569" s="21"/>
      <c r="AD569" s="218"/>
      <c r="AE569" s="21"/>
      <c r="AF569" s="218"/>
      <c r="AG569" s="21"/>
      <c r="AH569" s="218"/>
      <c r="AI569" s="21"/>
      <c r="AJ569" s="21"/>
      <c r="AK569" s="21"/>
      <c r="AL569" s="21"/>
      <c r="AM569" s="21"/>
    </row>
    <row r="570" spans="1:39" s="20" customFormat="1" ht="12.75">
      <c r="A570" s="22"/>
      <c r="B570" s="22"/>
      <c r="C570" s="22"/>
      <c r="D570" s="22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183"/>
      <c r="S570" s="21"/>
      <c r="T570" s="183"/>
      <c r="U570" s="21"/>
      <c r="V570" s="218"/>
      <c r="W570" s="21"/>
      <c r="X570" s="218"/>
      <c r="Y570" s="21"/>
      <c r="Z570" s="218"/>
      <c r="AA570" s="21"/>
      <c r="AB570" s="218"/>
      <c r="AC570" s="21"/>
      <c r="AD570" s="218"/>
      <c r="AE570" s="21"/>
      <c r="AF570" s="218"/>
      <c r="AG570" s="21"/>
      <c r="AH570" s="218"/>
      <c r="AI570" s="21"/>
      <c r="AJ570" s="21"/>
      <c r="AK570" s="21"/>
      <c r="AL570" s="21"/>
      <c r="AM570" s="21"/>
    </row>
    <row r="571" spans="1:39" s="20" customFormat="1" ht="12.75">
      <c r="A571" s="22"/>
      <c r="B571" s="22"/>
      <c r="C571" s="22"/>
      <c r="D571" s="22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183"/>
      <c r="S571" s="21"/>
      <c r="T571" s="183"/>
      <c r="U571" s="21"/>
      <c r="V571" s="218"/>
      <c r="W571" s="21"/>
      <c r="X571" s="218"/>
      <c r="Y571" s="21"/>
      <c r="Z571" s="218"/>
      <c r="AA571" s="21"/>
      <c r="AB571" s="218"/>
      <c r="AC571" s="21"/>
      <c r="AD571" s="218"/>
      <c r="AE571" s="21"/>
      <c r="AF571" s="218"/>
      <c r="AG571" s="21"/>
      <c r="AH571" s="218"/>
      <c r="AI571" s="21"/>
      <c r="AJ571" s="21"/>
      <c r="AK571" s="21"/>
      <c r="AL571" s="21"/>
      <c r="AM571" s="21"/>
    </row>
    <row r="572" spans="1:39" s="20" customFormat="1" ht="12.75">
      <c r="A572" s="22"/>
      <c r="B572" s="22"/>
      <c r="C572" s="22"/>
      <c r="D572" s="22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183"/>
      <c r="S572" s="21"/>
      <c r="T572" s="183"/>
      <c r="U572" s="21"/>
      <c r="V572" s="218"/>
      <c r="W572" s="21"/>
      <c r="X572" s="218"/>
      <c r="Y572" s="21"/>
      <c r="Z572" s="218"/>
      <c r="AA572" s="21"/>
      <c r="AB572" s="218"/>
      <c r="AC572" s="21"/>
      <c r="AD572" s="218"/>
      <c r="AE572" s="21"/>
      <c r="AF572" s="218"/>
      <c r="AG572" s="21"/>
      <c r="AH572" s="218"/>
      <c r="AI572" s="21"/>
      <c r="AJ572" s="21"/>
      <c r="AK572" s="21"/>
      <c r="AL572" s="21"/>
      <c r="AM572" s="21"/>
    </row>
    <row r="573" spans="1:39" s="20" customFormat="1" ht="12.75">
      <c r="A573" s="22"/>
      <c r="B573" s="22"/>
      <c r="C573" s="22"/>
      <c r="D573" s="22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183"/>
      <c r="S573" s="21"/>
      <c r="T573" s="183"/>
      <c r="U573" s="21"/>
      <c r="V573" s="218"/>
      <c r="W573" s="21"/>
      <c r="X573" s="218"/>
      <c r="Y573" s="21"/>
      <c r="Z573" s="218"/>
      <c r="AA573" s="21"/>
      <c r="AB573" s="218"/>
      <c r="AC573" s="21"/>
      <c r="AD573" s="218"/>
      <c r="AE573" s="21"/>
      <c r="AF573" s="218"/>
      <c r="AG573" s="21"/>
      <c r="AH573" s="218"/>
      <c r="AI573" s="21"/>
      <c r="AJ573" s="21"/>
      <c r="AK573" s="21"/>
      <c r="AL573" s="21"/>
      <c r="AM573" s="21"/>
    </row>
    <row r="574" spans="1:39" s="20" customFormat="1" ht="12.75">
      <c r="A574" s="22"/>
      <c r="B574" s="22"/>
      <c r="C574" s="22"/>
      <c r="D574" s="22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183"/>
      <c r="S574" s="21"/>
      <c r="T574" s="183"/>
      <c r="U574" s="21"/>
      <c r="V574" s="218"/>
      <c r="W574" s="21"/>
      <c r="X574" s="218"/>
      <c r="Y574" s="21"/>
      <c r="Z574" s="218"/>
      <c r="AA574" s="21"/>
      <c r="AB574" s="218"/>
      <c r="AC574" s="21"/>
      <c r="AD574" s="218"/>
      <c r="AE574" s="21"/>
      <c r="AF574" s="218"/>
      <c r="AG574" s="21"/>
      <c r="AH574" s="218"/>
      <c r="AI574" s="21"/>
      <c r="AJ574" s="21"/>
      <c r="AK574" s="21"/>
      <c r="AL574" s="21"/>
      <c r="AM574" s="21"/>
    </row>
    <row r="575" spans="1:39" s="20" customFormat="1" ht="12.75">
      <c r="A575" s="22"/>
      <c r="B575" s="22"/>
      <c r="C575" s="22"/>
      <c r="D575" s="22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183"/>
      <c r="S575" s="21"/>
      <c r="T575" s="183"/>
      <c r="U575" s="21"/>
      <c r="V575" s="218"/>
      <c r="W575" s="21"/>
      <c r="X575" s="218"/>
      <c r="Y575" s="21"/>
      <c r="Z575" s="218"/>
      <c r="AA575" s="21"/>
      <c r="AB575" s="218"/>
      <c r="AC575" s="21"/>
      <c r="AD575" s="218"/>
      <c r="AE575" s="21"/>
      <c r="AF575" s="218"/>
      <c r="AG575" s="21"/>
      <c r="AH575" s="218"/>
      <c r="AI575" s="21"/>
      <c r="AJ575" s="21"/>
      <c r="AK575" s="21"/>
      <c r="AL575" s="21"/>
      <c r="AM575" s="21"/>
    </row>
    <row r="576" spans="1:39" s="20" customFormat="1" ht="12.75">
      <c r="A576" s="22"/>
      <c r="B576" s="22"/>
      <c r="C576" s="22"/>
      <c r="D576" s="22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183"/>
      <c r="S576" s="21"/>
      <c r="T576" s="183"/>
      <c r="U576" s="21"/>
      <c r="V576" s="218"/>
      <c r="W576" s="21"/>
      <c r="X576" s="218"/>
      <c r="Y576" s="21"/>
      <c r="Z576" s="218"/>
      <c r="AA576" s="21"/>
      <c r="AB576" s="218"/>
      <c r="AC576" s="21"/>
      <c r="AD576" s="218"/>
      <c r="AE576" s="21"/>
      <c r="AF576" s="218"/>
      <c r="AG576" s="21"/>
      <c r="AH576" s="218"/>
      <c r="AI576" s="21"/>
      <c r="AJ576" s="21"/>
      <c r="AK576" s="21"/>
      <c r="AL576" s="21"/>
      <c r="AM576" s="21"/>
    </row>
    <row r="577" spans="1:39" s="20" customFormat="1" ht="12.75">
      <c r="A577" s="22"/>
      <c r="B577" s="22"/>
      <c r="C577" s="22"/>
      <c r="D577" s="22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183"/>
      <c r="S577" s="21"/>
      <c r="T577" s="183"/>
      <c r="U577" s="21"/>
      <c r="V577" s="218"/>
      <c r="W577" s="21"/>
      <c r="X577" s="218"/>
      <c r="Y577" s="21"/>
      <c r="Z577" s="218"/>
      <c r="AA577" s="21"/>
      <c r="AB577" s="218"/>
      <c r="AC577" s="21"/>
      <c r="AD577" s="218"/>
      <c r="AE577" s="21"/>
      <c r="AF577" s="218"/>
      <c r="AG577" s="21"/>
      <c r="AH577" s="218"/>
      <c r="AI577" s="21"/>
      <c r="AJ577" s="21"/>
      <c r="AK577" s="21"/>
      <c r="AL577" s="21"/>
      <c r="AM577" s="21"/>
    </row>
    <row r="578" spans="1:39" s="20" customFormat="1" ht="12.75">
      <c r="A578" s="22"/>
      <c r="B578" s="22"/>
      <c r="C578" s="22"/>
      <c r="D578" s="22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183"/>
      <c r="S578" s="21"/>
      <c r="T578" s="183"/>
      <c r="U578" s="21"/>
      <c r="V578" s="218"/>
      <c r="W578" s="21"/>
      <c r="X578" s="218"/>
      <c r="Y578" s="21"/>
      <c r="Z578" s="218"/>
      <c r="AA578" s="21"/>
      <c r="AB578" s="218"/>
      <c r="AC578" s="21"/>
      <c r="AD578" s="218"/>
      <c r="AE578" s="21"/>
      <c r="AF578" s="218"/>
      <c r="AG578" s="21"/>
      <c r="AH578" s="218"/>
      <c r="AI578" s="21"/>
      <c r="AJ578" s="21"/>
      <c r="AK578" s="21"/>
      <c r="AL578" s="21"/>
      <c r="AM578" s="21"/>
    </row>
    <row r="579" spans="1:39" s="20" customFormat="1" ht="12.75">
      <c r="A579" s="22"/>
      <c r="B579" s="22"/>
      <c r="C579" s="22"/>
      <c r="D579" s="22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183"/>
      <c r="S579" s="21"/>
      <c r="T579" s="183"/>
      <c r="U579" s="21"/>
      <c r="V579" s="218"/>
      <c r="W579" s="21"/>
      <c r="X579" s="218"/>
      <c r="Y579" s="21"/>
      <c r="Z579" s="218"/>
      <c r="AA579" s="21"/>
      <c r="AB579" s="218"/>
      <c r="AC579" s="21"/>
      <c r="AD579" s="218"/>
      <c r="AE579" s="21"/>
      <c r="AF579" s="218"/>
      <c r="AG579" s="21"/>
      <c r="AH579" s="218"/>
      <c r="AI579" s="21"/>
      <c r="AJ579" s="21"/>
      <c r="AK579" s="21"/>
      <c r="AL579" s="21"/>
      <c r="AM579" s="21"/>
    </row>
    <row r="580" spans="1:39" s="20" customFormat="1" ht="12.75">
      <c r="A580" s="22"/>
      <c r="B580" s="22"/>
      <c r="C580" s="22"/>
      <c r="D580" s="22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183"/>
      <c r="S580" s="21"/>
      <c r="T580" s="183"/>
      <c r="U580" s="21"/>
      <c r="V580" s="218"/>
      <c r="W580" s="21"/>
      <c r="X580" s="218"/>
      <c r="Y580" s="21"/>
      <c r="Z580" s="218"/>
      <c r="AA580" s="21"/>
      <c r="AB580" s="218"/>
      <c r="AC580" s="21"/>
      <c r="AD580" s="218"/>
      <c r="AE580" s="21"/>
      <c r="AF580" s="218"/>
      <c r="AG580" s="21"/>
      <c r="AH580" s="218"/>
      <c r="AI580" s="21"/>
      <c r="AJ580" s="21"/>
      <c r="AK580" s="21"/>
      <c r="AL580" s="21"/>
      <c r="AM580" s="21"/>
    </row>
    <row r="581" spans="1:39" s="20" customFormat="1" ht="12.75">
      <c r="A581" s="22"/>
      <c r="B581" s="22"/>
      <c r="C581" s="22"/>
      <c r="D581" s="22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183"/>
      <c r="S581" s="21"/>
      <c r="T581" s="183"/>
      <c r="U581" s="21"/>
      <c r="V581" s="218"/>
      <c r="W581" s="21"/>
      <c r="X581" s="218"/>
      <c r="Y581" s="21"/>
      <c r="Z581" s="218"/>
      <c r="AA581" s="21"/>
      <c r="AB581" s="218"/>
      <c r="AC581" s="21"/>
      <c r="AD581" s="218"/>
      <c r="AE581" s="21"/>
      <c r="AF581" s="218"/>
      <c r="AG581" s="21"/>
      <c r="AH581" s="218"/>
      <c r="AI581" s="21"/>
      <c r="AJ581" s="21"/>
      <c r="AK581" s="21"/>
      <c r="AL581" s="21"/>
      <c r="AM581" s="21"/>
    </row>
    <row r="582" spans="1:39" s="20" customFormat="1" ht="12.75">
      <c r="A582" s="22"/>
      <c r="B582" s="22"/>
      <c r="C582" s="22"/>
      <c r="D582" s="22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183"/>
      <c r="S582" s="21"/>
      <c r="T582" s="183"/>
      <c r="U582" s="21"/>
      <c r="V582" s="218"/>
      <c r="W582" s="21"/>
      <c r="X582" s="218"/>
      <c r="Y582" s="21"/>
      <c r="Z582" s="218"/>
      <c r="AA582" s="21"/>
      <c r="AB582" s="218"/>
      <c r="AC582" s="21"/>
      <c r="AD582" s="218"/>
      <c r="AE582" s="21"/>
      <c r="AF582" s="218"/>
      <c r="AG582" s="21"/>
      <c r="AH582" s="218"/>
      <c r="AI582" s="21"/>
      <c r="AJ582" s="21"/>
      <c r="AK582" s="21"/>
      <c r="AL582" s="21"/>
      <c r="AM582" s="21"/>
    </row>
    <row r="583" spans="1:39" s="20" customFormat="1" ht="12.75">
      <c r="A583" s="22"/>
      <c r="B583" s="22"/>
      <c r="C583" s="22"/>
      <c r="D583" s="22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183"/>
      <c r="S583" s="21"/>
      <c r="T583" s="183"/>
      <c r="U583" s="21"/>
      <c r="V583" s="218"/>
      <c r="W583" s="21"/>
      <c r="X583" s="218"/>
      <c r="Y583" s="21"/>
      <c r="Z583" s="218"/>
      <c r="AA583" s="21"/>
      <c r="AB583" s="218"/>
      <c r="AC583" s="21"/>
      <c r="AD583" s="218"/>
      <c r="AE583" s="21"/>
      <c r="AF583" s="218"/>
      <c r="AG583" s="21"/>
      <c r="AH583" s="218"/>
      <c r="AI583" s="21"/>
      <c r="AJ583" s="21"/>
      <c r="AK583" s="21"/>
      <c r="AL583" s="21"/>
      <c r="AM583" s="21"/>
    </row>
    <row r="584" spans="1:39" s="20" customFormat="1" ht="12.75">
      <c r="A584" s="22"/>
      <c r="B584" s="22"/>
      <c r="C584" s="22"/>
      <c r="D584" s="22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183"/>
      <c r="S584" s="21"/>
      <c r="T584" s="183"/>
      <c r="U584" s="21"/>
      <c r="V584" s="218"/>
      <c r="W584" s="21"/>
      <c r="X584" s="218"/>
      <c r="Y584" s="21"/>
      <c r="Z584" s="218"/>
      <c r="AA584" s="21"/>
      <c r="AB584" s="218"/>
      <c r="AC584" s="21"/>
      <c r="AD584" s="218"/>
      <c r="AE584" s="21"/>
      <c r="AF584" s="218"/>
      <c r="AG584" s="21"/>
      <c r="AH584" s="218"/>
      <c r="AI584" s="21"/>
      <c r="AJ584" s="111"/>
      <c r="AK584" s="21"/>
      <c r="AL584" s="111"/>
      <c r="AM584" s="21"/>
    </row>
    <row r="585" spans="1:39" s="20" customFormat="1" ht="12.75">
      <c r="A585" s="22"/>
      <c r="B585" s="22"/>
      <c r="C585" s="22"/>
      <c r="D585" s="22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183"/>
      <c r="S585" s="21"/>
      <c r="T585" s="183"/>
      <c r="U585" s="21"/>
      <c r="V585" s="218"/>
      <c r="W585" s="21"/>
      <c r="X585" s="218"/>
      <c r="Y585" s="21"/>
      <c r="Z585" s="218"/>
      <c r="AA585" s="21"/>
      <c r="AB585" s="218"/>
      <c r="AC585" s="21"/>
      <c r="AD585" s="218"/>
      <c r="AE585" s="21"/>
      <c r="AF585" s="218"/>
      <c r="AG585" s="21"/>
      <c r="AH585" s="218"/>
      <c r="AI585" s="21"/>
      <c r="AJ585" s="21"/>
      <c r="AK585" s="21"/>
      <c r="AL585" s="21"/>
      <c r="AM585" s="21"/>
    </row>
    <row r="586" spans="1:39" s="20" customFormat="1" ht="12.75">
      <c r="A586" s="22"/>
      <c r="B586" s="22"/>
      <c r="C586" s="22"/>
      <c r="D586" s="22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183"/>
      <c r="S586" s="21"/>
      <c r="T586" s="183"/>
      <c r="U586" s="21"/>
      <c r="V586" s="218"/>
      <c r="W586" s="21"/>
      <c r="X586" s="218"/>
      <c r="Y586" s="21"/>
      <c r="Z586" s="218"/>
      <c r="AA586" s="21"/>
      <c r="AB586" s="218"/>
      <c r="AC586" s="21"/>
      <c r="AD586" s="218"/>
      <c r="AE586" s="21"/>
      <c r="AF586" s="218">
        <v>16649</v>
      </c>
      <c r="AG586" s="21"/>
      <c r="AH586" s="218"/>
      <c r="AI586" s="21"/>
      <c r="AJ586" s="21"/>
      <c r="AK586" s="21"/>
      <c r="AL586" s="21"/>
      <c r="AM586" s="21"/>
    </row>
    <row r="587" spans="1:39" s="20" customFormat="1" ht="12.75">
      <c r="A587" s="22"/>
      <c r="B587" s="22"/>
      <c r="C587" s="22"/>
      <c r="D587" s="22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183"/>
      <c r="S587" s="21"/>
      <c r="T587" s="183"/>
      <c r="U587" s="21"/>
      <c r="V587" s="218"/>
      <c r="W587" s="21"/>
      <c r="X587" s="218"/>
      <c r="Y587" s="21"/>
      <c r="Z587" s="218"/>
      <c r="AA587" s="21"/>
      <c r="AB587" s="218"/>
      <c r="AC587" s="21"/>
      <c r="AD587" s="218"/>
      <c r="AE587" s="21"/>
      <c r="AF587" s="218">
        <v>64362</v>
      </c>
      <c r="AG587" s="21"/>
      <c r="AH587" s="218"/>
      <c r="AI587" s="21"/>
      <c r="AJ587" s="21"/>
      <c r="AK587" s="21"/>
      <c r="AL587" s="21"/>
      <c r="AM587" s="21"/>
    </row>
    <row r="588" spans="1:39" s="20" customFormat="1" ht="12.75">
      <c r="A588" s="22"/>
      <c r="B588" s="22"/>
      <c r="C588" s="22"/>
      <c r="D588" s="22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183"/>
      <c r="S588" s="21"/>
      <c r="T588" s="183"/>
      <c r="U588" s="21"/>
      <c r="V588" s="218"/>
      <c r="W588" s="21"/>
      <c r="X588" s="218"/>
      <c r="Y588" s="21"/>
      <c r="Z588" s="218"/>
      <c r="AA588" s="21"/>
      <c r="AB588" s="218"/>
      <c r="AC588" s="21"/>
      <c r="AD588" s="218"/>
      <c r="AE588" s="21"/>
      <c r="AF588" s="218">
        <v>18550</v>
      </c>
      <c r="AG588" s="21"/>
      <c r="AH588" s="218"/>
      <c r="AI588" s="21"/>
      <c r="AJ588" s="21"/>
      <c r="AK588" s="21"/>
      <c r="AL588" s="21"/>
      <c r="AM588" s="21"/>
    </row>
    <row r="589" spans="1:39" s="20" customFormat="1" ht="12.75">
      <c r="A589" s="22"/>
      <c r="B589" s="22"/>
      <c r="C589" s="22"/>
      <c r="D589" s="22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183"/>
      <c r="S589" s="21"/>
      <c r="T589" s="183"/>
      <c r="U589" s="21"/>
      <c r="V589" s="218"/>
      <c r="W589" s="21"/>
      <c r="X589" s="218"/>
      <c r="Y589" s="21"/>
      <c r="Z589" s="218"/>
      <c r="AA589" s="21"/>
      <c r="AB589" s="218"/>
      <c r="AC589" s="21"/>
      <c r="AD589" s="218"/>
      <c r="AE589" s="21"/>
      <c r="AF589" s="218">
        <v>12450</v>
      </c>
      <c r="AG589" s="21"/>
      <c r="AH589" s="218"/>
      <c r="AI589" s="21"/>
      <c r="AJ589" s="21"/>
      <c r="AK589" s="21"/>
      <c r="AL589" s="21"/>
      <c r="AM589" s="21"/>
    </row>
    <row r="590" spans="1:39" s="20" customFormat="1" ht="12.75">
      <c r="A590" s="22"/>
      <c r="B590" s="22"/>
      <c r="C590" s="22"/>
      <c r="D590" s="22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183"/>
      <c r="S590" s="21"/>
      <c r="T590" s="183"/>
      <c r="U590" s="21"/>
      <c r="V590" s="218"/>
      <c r="W590" s="21"/>
      <c r="X590" s="218"/>
      <c r="Y590" s="21"/>
      <c r="Z590" s="218"/>
      <c r="AA590" s="21"/>
      <c r="AB590" s="218"/>
      <c r="AC590" s="21"/>
      <c r="AD590" s="218">
        <v>9686</v>
      </c>
      <c r="AE590" s="21"/>
      <c r="AF590" s="183">
        <f>SUM(AF552:AF589)</f>
        <v>112011</v>
      </c>
      <c r="AG590" s="21"/>
      <c r="AH590" s="183"/>
      <c r="AI590" s="21"/>
      <c r="AJ590" s="111"/>
      <c r="AK590" s="21"/>
      <c r="AL590" s="111"/>
      <c r="AM590" s="21"/>
    </row>
    <row r="591" spans="1:39" s="224" customFormat="1" ht="12.75">
      <c r="A591" s="222"/>
      <c r="B591" s="222"/>
      <c r="C591" s="222"/>
      <c r="D591" s="222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223"/>
      <c r="S591" s="189"/>
      <c r="T591" s="223"/>
      <c r="U591" s="189"/>
      <c r="V591" s="189"/>
      <c r="W591" s="189"/>
      <c r="X591" s="189"/>
      <c r="Y591" s="189"/>
      <c r="Z591" s="189"/>
      <c r="AA591" s="189"/>
      <c r="AB591" s="189"/>
      <c r="AC591" s="189"/>
      <c r="AD591" s="189">
        <v>150000</v>
      </c>
      <c r="AE591" s="189"/>
      <c r="AF591" s="189"/>
      <c r="AG591" s="189"/>
      <c r="AH591" s="189"/>
      <c r="AI591" s="189"/>
      <c r="AJ591" s="21"/>
      <c r="AK591" s="189"/>
      <c r="AL591" s="21"/>
      <c r="AM591" s="189"/>
    </row>
    <row r="592" spans="1:39" s="224" customFormat="1" ht="12.75">
      <c r="A592" s="222"/>
      <c r="B592" s="222"/>
      <c r="C592" s="222"/>
      <c r="D592" s="222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223"/>
      <c r="S592" s="189"/>
      <c r="T592" s="223"/>
      <c r="U592" s="189"/>
      <c r="V592" s="189"/>
      <c r="W592" s="189"/>
      <c r="X592" s="189"/>
      <c r="Y592" s="189"/>
      <c r="Z592" s="189"/>
      <c r="AA592" s="189"/>
      <c r="AB592" s="189"/>
      <c r="AC592" s="189"/>
      <c r="AD592" s="189">
        <v>-60000</v>
      </c>
      <c r="AE592" s="189"/>
      <c r="AF592" s="189"/>
      <c r="AG592" s="189"/>
      <c r="AH592" s="189"/>
      <c r="AI592" s="189"/>
      <c r="AJ592" s="21"/>
      <c r="AK592" s="189"/>
      <c r="AL592" s="21"/>
      <c r="AM592" s="189"/>
    </row>
    <row r="593" spans="1:39" s="224" customFormat="1" ht="12.75">
      <c r="A593" s="222"/>
      <c r="B593" s="222"/>
      <c r="C593" s="222"/>
      <c r="D593" s="222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223"/>
      <c r="S593" s="189"/>
      <c r="T593" s="223"/>
      <c r="U593" s="189"/>
      <c r="V593" s="189"/>
      <c r="W593" s="189"/>
      <c r="X593" s="189"/>
      <c r="Y593" s="189"/>
      <c r="Z593" s="189"/>
      <c r="AA593" s="189"/>
      <c r="AB593" s="189"/>
      <c r="AC593" s="189"/>
      <c r="AD593" s="189">
        <v>200000</v>
      </c>
      <c r="AE593" s="189"/>
      <c r="AF593" s="189"/>
      <c r="AG593" s="189"/>
      <c r="AH593" s="189"/>
      <c r="AI593" s="189"/>
      <c r="AJ593" s="21"/>
      <c r="AK593" s="189"/>
      <c r="AL593" s="21"/>
      <c r="AM593" s="189"/>
    </row>
    <row r="594" spans="1:39" s="224" customFormat="1" ht="12.75">
      <c r="A594" s="222"/>
      <c r="B594" s="222"/>
      <c r="C594" s="222"/>
      <c r="D594" s="222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223"/>
      <c r="S594" s="189"/>
      <c r="T594" s="223"/>
      <c r="U594" s="189"/>
      <c r="V594" s="189"/>
      <c r="W594" s="189"/>
      <c r="X594" s="189"/>
      <c r="Y594" s="189"/>
      <c r="Z594" s="189"/>
      <c r="AA594" s="189"/>
      <c r="AB594" s="189"/>
      <c r="AC594" s="189"/>
      <c r="AD594" s="189">
        <v>30000</v>
      </c>
      <c r="AE594" s="189"/>
      <c r="AF594" s="189"/>
      <c r="AG594" s="189"/>
      <c r="AH594" s="189"/>
      <c r="AI594" s="189"/>
      <c r="AJ594" s="21"/>
      <c r="AK594" s="189"/>
      <c r="AL594" s="21"/>
      <c r="AM594" s="189"/>
    </row>
    <row r="595" spans="1:39" s="224" customFormat="1" ht="12.75">
      <c r="A595" s="222"/>
      <c r="B595" s="222"/>
      <c r="C595" s="222"/>
      <c r="D595" s="222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223"/>
      <c r="S595" s="189"/>
      <c r="T595" s="223"/>
      <c r="U595" s="189"/>
      <c r="V595" s="189"/>
      <c r="W595" s="189"/>
      <c r="X595" s="189"/>
      <c r="Y595" s="189"/>
      <c r="Z595" s="189"/>
      <c r="AA595" s="189"/>
      <c r="AB595" s="189"/>
      <c r="AC595" s="189"/>
      <c r="AD595" s="189">
        <v>120000</v>
      </c>
      <c r="AE595" s="189"/>
      <c r="AF595" s="189"/>
      <c r="AG595" s="189"/>
      <c r="AH595" s="189"/>
      <c r="AI595" s="189"/>
      <c r="AJ595" s="21"/>
      <c r="AK595" s="189"/>
      <c r="AL595" s="21"/>
      <c r="AM595" s="189"/>
    </row>
    <row r="596" spans="1:39" s="224" customFormat="1" ht="12.75">
      <c r="A596" s="222"/>
      <c r="B596" s="222"/>
      <c r="C596" s="222"/>
      <c r="D596" s="222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223"/>
      <c r="S596" s="189"/>
      <c r="T596" s="223"/>
      <c r="U596" s="189"/>
      <c r="V596" s="189"/>
      <c r="W596" s="189"/>
      <c r="X596" s="189"/>
      <c r="Y596" s="189"/>
      <c r="Z596" s="189"/>
      <c r="AA596" s="189"/>
      <c r="AB596" s="189"/>
      <c r="AC596" s="189"/>
      <c r="AD596" s="189">
        <v>1500</v>
      </c>
      <c r="AE596" s="189"/>
      <c r="AF596" s="189"/>
      <c r="AG596" s="189"/>
      <c r="AH596" s="189"/>
      <c r="AI596" s="189"/>
      <c r="AJ596" s="21"/>
      <c r="AK596" s="189"/>
      <c r="AL596" s="21"/>
      <c r="AM596" s="189"/>
    </row>
    <row r="597" spans="1:39" s="20" customFormat="1" ht="12.75">
      <c r="A597" s="22"/>
      <c r="B597" s="22"/>
      <c r="C597" s="22"/>
      <c r="D597" s="22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183">
        <v>4500</v>
      </c>
      <c r="AE597" s="21"/>
      <c r="AF597" s="183"/>
      <c r="AG597" s="21"/>
      <c r="AH597" s="183"/>
      <c r="AI597" s="21"/>
      <c r="AJ597" s="111"/>
      <c r="AK597" s="21"/>
      <c r="AL597" s="111"/>
      <c r="AM597" s="21"/>
    </row>
    <row r="598" spans="1:39" s="20" customFormat="1" ht="12.75">
      <c r="A598" s="22"/>
      <c r="B598" s="22"/>
      <c r="C598" s="22"/>
      <c r="D598" s="22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>
        <v>-23900</v>
      </c>
      <c r="AE598" s="21"/>
      <c r="AF598" s="21"/>
      <c r="AG598" s="21"/>
      <c r="AH598" s="21"/>
      <c r="AI598" s="21"/>
      <c r="AJ598" s="21"/>
      <c r="AK598" s="21"/>
      <c r="AL598" s="21"/>
      <c r="AM598" s="21"/>
    </row>
    <row r="599" spans="1:39" s="20" customFormat="1" ht="12.75">
      <c r="A599" s="22"/>
      <c r="B599" s="22"/>
      <c r="C599" s="22"/>
      <c r="D599" s="22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>
        <v>23900</v>
      </c>
      <c r="AE599" s="21"/>
      <c r="AF599" s="21"/>
      <c r="AG599" s="21"/>
      <c r="AH599" s="21"/>
      <c r="AI599" s="21"/>
      <c r="AJ599" s="21"/>
      <c r="AK599" s="21"/>
      <c r="AL599" s="21"/>
      <c r="AM599" s="21"/>
    </row>
    <row r="600" spans="1:39" s="20" customFormat="1" ht="12.75">
      <c r="A600" s="22"/>
      <c r="B600" s="22"/>
      <c r="C600" s="22"/>
      <c r="D600" s="22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>
        <v>80000</v>
      </c>
      <c r="AE600" s="21"/>
      <c r="AF600" s="21"/>
      <c r="AG600" s="21"/>
      <c r="AH600" s="21"/>
      <c r="AI600" s="21"/>
      <c r="AJ600" s="21"/>
      <c r="AK600" s="21"/>
      <c r="AL600" s="21"/>
      <c r="AM600" s="21"/>
    </row>
    <row r="601" spans="1:39" s="20" customFormat="1" ht="12.75">
      <c r="A601" s="22"/>
      <c r="B601" s="22"/>
      <c r="C601" s="22"/>
      <c r="D601" s="22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>
        <v>50000</v>
      </c>
      <c r="AE601" s="21"/>
      <c r="AF601" s="21"/>
      <c r="AG601" s="21"/>
      <c r="AH601" s="21"/>
      <c r="AI601" s="21"/>
      <c r="AJ601" s="21"/>
      <c r="AK601" s="21"/>
      <c r="AL601" s="21"/>
      <c r="AM601" s="21"/>
    </row>
    <row r="602" spans="1:39" s="20" customFormat="1" ht="12.75">
      <c r="A602" s="22"/>
      <c r="B602" s="22"/>
      <c r="C602" s="22"/>
      <c r="D602" s="22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>
        <v>20000</v>
      </c>
      <c r="AE602" s="21"/>
      <c r="AF602" s="21"/>
      <c r="AG602" s="21"/>
      <c r="AH602" s="21"/>
      <c r="AI602" s="21"/>
      <c r="AJ602" s="21"/>
      <c r="AK602" s="21"/>
      <c r="AL602" s="21"/>
      <c r="AM602" s="21"/>
    </row>
    <row r="603" spans="1:39" s="20" customFormat="1" ht="12.75">
      <c r="A603" s="22"/>
      <c r="B603" s="22"/>
      <c r="C603" s="22"/>
      <c r="D603" s="22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>
        <v>40000</v>
      </c>
      <c r="AE603" s="21"/>
      <c r="AF603" s="21"/>
      <c r="AG603" s="21"/>
      <c r="AH603" s="21"/>
      <c r="AI603" s="21"/>
      <c r="AJ603" s="21"/>
      <c r="AK603" s="21"/>
      <c r="AL603" s="21"/>
      <c r="AM603" s="21"/>
    </row>
    <row r="604" spans="1:39" s="20" customFormat="1" ht="12.75">
      <c r="A604" s="22"/>
      <c r="B604" s="22"/>
      <c r="C604" s="22"/>
      <c r="D604" s="22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>
        <v>-500000</v>
      </c>
      <c r="AE604" s="21"/>
      <c r="AF604" s="21"/>
      <c r="AG604" s="21"/>
      <c r="AH604" s="21"/>
      <c r="AI604" s="21"/>
      <c r="AJ604" s="21"/>
      <c r="AK604" s="21"/>
      <c r="AL604" s="21"/>
      <c r="AM604" s="21"/>
    </row>
    <row r="605" spans="1:39" s="20" customFormat="1" ht="12.75">
      <c r="A605" s="22"/>
      <c r="B605" s="22"/>
      <c r="C605" s="22"/>
      <c r="D605" s="22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>
        <v>10000</v>
      </c>
      <c r="AE605" s="21"/>
      <c r="AF605" s="21"/>
      <c r="AG605" s="21"/>
      <c r="AH605" s="21"/>
      <c r="AI605" s="21"/>
      <c r="AJ605" s="21"/>
      <c r="AK605" s="21"/>
      <c r="AL605" s="21"/>
      <c r="AM605" s="21"/>
    </row>
    <row r="606" spans="1:39" s="20" customFormat="1" ht="12.75">
      <c r="A606" s="22"/>
      <c r="B606" s="22"/>
      <c r="C606" s="22"/>
      <c r="D606" s="22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>
        <v>50000</v>
      </c>
      <c r="AE606" s="21"/>
      <c r="AF606" s="21"/>
      <c r="AG606" s="21"/>
      <c r="AH606" s="21"/>
      <c r="AI606" s="21"/>
      <c r="AJ606" s="21"/>
      <c r="AK606" s="21"/>
      <c r="AL606" s="21"/>
      <c r="AM606" s="21"/>
    </row>
    <row r="607" spans="1:39" s="20" customFormat="1" ht="12.75">
      <c r="A607" s="22"/>
      <c r="B607" s="22"/>
      <c r="C607" s="22"/>
      <c r="D607" s="22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>
        <f>'ZAŁ. NR 1.11'!P150-'ZAŁ. NR 2.11'!R548</f>
        <v>0</v>
      </c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189">
        <v>50000</v>
      </c>
      <c r="AE607" s="21"/>
      <c r="AF607" s="189"/>
      <c r="AG607" s="21"/>
      <c r="AH607" s="189"/>
      <c r="AI607" s="21"/>
      <c r="AJ607" s="21"/>
      <c r="AK607" s="21"/>
      <c r="AL607" s="21"/>
      <c r="AM607" s="21"/>
    </row>
    <row r="608" spans="1:39" s="20" customFormat="1" ht="12.75">
      <c r="A608" s="22"/>
      <c r="B608" s="22"/>
      <c r="C608" s="22"/>
      <c r="D608" s="22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183">
        <f>SUM(AD554:AD607)</f>
        <v>255686</v>
      </c>
      <c r="AE608" s="21"/>
      <c r="AF608" s="183"/>
      <c r="AG608" s="21"/>
      <c r="AH608" s="183"/>
      <c r="AI608" s="21"/>
      <c r="AJ608" s="111"/>
      <c r="AK608" s="21"/>
      <c r="AL608" s="111"/>
      <c r="AM608" s="21"/>
    </row>
    <row r="609" spans="1:39" s="20" customFormat="1" ht="12.75">
      <c r="A609" s="22"/>
      <c r="B609" s="22"/>
      <c r="C609" s="22"/>
      <c r="D609" s="22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</row>
    <row r="610" spans="1:39" s="20" customFormat="1" ht="12.75">
      <c r="A610" s="22"/>
      <c r="B610" s="22"/>
      <c r="C610" s="22"/>
      <c r="D610" s="22"/>
      <c r="E610" s="21"/>
      <c r="F610" s="21"/>
      <c r="G610" s="21"/>
      <c r="H610" s="21"/>
      <c r="I610" s="21"/>
      <c r="J610" s="21"/>
      <c r="K610" s="21"/>
      <c r="L610" s="189"/>
      <c r="M610" s="21"/>
      <c r="N610" s="189"/>
      <c r="O610" s="21"/>
      <c r="P610" s="189"/>
      <c r="Q610" s="21"/>
      <c r="R610" s="189"/>
      <c r="S610" s="21"/>
      <c r="T610" s="189"/>
      <c r="U610" s="21"/>
      <c r="V610" s="189"/>
      <c r="W610" s="21"/>
      <c r="X610" s="189"/>
      <c r="Y610" s="21"/>
      <c r="Z610" s="189"/>
      <c r="AA610" s="21"/>
      <c r="AB610" s="189"/>
      <c r="AC610" s="21"/>
      <c r="AD610" s="189"/>
      <c r="AE610" s="21"/>
      <c r="AF610" s="189"/>
      <c r="AG610" s="21"/>
      <c r="AH610" s="189"/>
      <c r="AI610" s="21"/>
      <c r="AJ610" s="21"/>
      <c r="AK610" s="21"/>
      <c r="AL610" s="21"/>
      <c r="AM610" s="21"/>
    </row>
    <row r="611" spans="1:39" s="20" customFormat="1" ht="12.75">
      <c r="A611" s="22"/>
      <c r="B611" s="22"/>
      <c r="C611" s="22"/>
      <c r="D611" s="22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</row>
    <row r="612" spans="1:39" s="20" customFormat="1" ht="12.75">
      <c r="A612" s="22"/>
      <c r="B612" s="22"/>
      <c r="C612" s="22"/>
      <c r="D612" s="22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</row>
    <row r="613" spans="1:39" s="20" customFormat="1" ht="12.75">
      <c r="A613" s="22"/>
      <c r="B613" s="22"/>
      <c r="C613" s="22"/>
      <c r="D613" s="22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</row>
    <row r="614" spans="1:39" s="20" customFormat="1" ht="12.75">
      <c r="A614" s="22"/>
      <c r="B614" s="22"/>
      <c r="C614" s="22"/>
      <c r="D614" s="22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</row>
    <row r="615" spans="1:39" s="20" customFormat="1" ht="12.75">
      <c r="A615" s="22"/>
      <c r="B615" s="22"/>
      <c r="C615" s="22"/>
      <c r="D615" s="22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</row>
    <row r="616" spans="1:39" s="20" customFormat="1" ht="12.75">
      <c r="A616" s="22"/>
      <c r="B616" s="22"/>
      <c r="C616" s="22"/>
      <c r="D616" s="22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</row>
    <row r="617" spans="1:39" s="20" customFormat="1" ht="12.75">
      <c r="A617" s="22"/>
      <c r="B617" s="22"/>
      <c r="C617" s="22"/>
      <c r="D617" s="22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</row>
    <row r="618" spans="1:39" s="20" customFormat="1" ht="12.75">
      <c r="A618" s="22"/>
      <c r="B618" s="22"/>
      <c r="C618" s="22"/>
      <c r="D618" s="22"/>
      <c r="E618" s="21"/>
      <c r="F618" s="21"/>
      <c r="G618" s="21"/>
      <c r="H618" s="21"/>
      <c r="I618" s="21"/>
      <c r="J618" s="21"/>
      <c r="K618" s="21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21"/>
      <c r="AK618" s="189"/>
      <c r="AL618" s="21"/>
      <c r="AM618" s="189"/>
    </row>
    <row r="619" spans="1:39" s="20" customFormat="1" ht="12.75">
      <c r="A619" s="22"/>
      <c r="B619" s="22"/>
      <c r="C619" s="22"/>
      <c r="D619" s="22"/>
      <c r="E619" s="21"/>
      <c r="F619" s="21"/>
      <c r="G619" s="21"/>
      <c r="H619" s="21"/>
      <c r="I619" s="21"/>
      <c r="J619" s="21"/>
      <c r="K619" s="21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21"/>
      <c r="AK619" s="189"/>
      <c r="AL619" s="21"/>
      <c r="AM619" s="189"/>
    </row>
    <row r="620" spans="1:39" s="20" customFormat="1" ht="12.75">
      <c r="A620" s="22"/>
      <c r="B620" s="22"/>
      <c r="C620" s="22"/>
      <c r="D620" s="22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</row>
    <row r="621" spans="1:39" s="20" customFormat="1" ht="12.75">
      <c r="A621" s="22"/>
      <c r="B621" s="22"/>
      <c r="C621" s="22"/>
      <c r="D621" s="22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</row>
    <row r="622" spans="1:39" s="20" customFormat="1" ht="12.75">
      <c r="A622" s="22"/>
      <c r="B622" s="22"/>
      <c r="C622" s="22"/>
      <c r="D622" s="22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</row>
    <row r="623" spans="1:39" s="20" customFormat="1" ht="12.75">
      <c r="A623" s="22"/>
      <c r="B623" s="22"/>
      <c r="C623" s="22"/>
      <c r="D623" s="22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</row>
    <row r="624" spans="1:39" s="20" customFormat="1" ht="12.75">
      <c r="A624" s="22"/>
      <c r="B624" s="22"/>
      <c r="C624" s="22"/>
      <c r="D624" s="22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</row>
    <row r="625" spans="1:39" s="20" customFormat="1" ht="12.75">
      <c r="A625" s="22"/>
      <c r="B625" s="22"/>
      <c r="C625" s="22"/>
      <c r="D625" s="22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</row>
    <row r="626" spans="1:39" s="20" customFormat="1" ht="12.75">
      <c r="A626" s="22"/>
      <c r="B626" s="22"/>
      <c r="C626" s="22"/>
      <c r="D626" s="22"/>
      <c r="E626" s="21"/>
      <c r="F626" s="21"/>
      <c r="G626" s="21"/>
      <c r="H626" s="21"/>
      <c r="I626" s="21"/>
      <c r="J626" s="21"/>
      <c r="K626" s="21"/>
      <c r="L626" s="183"/>
      <c r="M626" s="21"/>
      <c r="N626" s="183"/>
      <c r="O626" s="21"/>
      <c r="P626" s="183"/>
      <c r="Q626" s="21"/>
      <c r="R626" s="183"/>
      <c r="S626" s="21"/>
      <c r="T626" s="183"/>
      <c r="U626" s="21"/>
      <c r="V626" s="183"/>
      <c r="W626" s="21"/>
      <c r="X626" s="183"/>
      <c r="Y626" s="21"/>
      <c r="Z626" s="183"/>
      <c r="AA626" s="21"/>
      <c r="AB626" s="183"/>
      <c r="AC626" s="21"/>
      <c r="AD626" s="183"/>
      <c r="AE626" s="21"/>
      <c r="AF626" s="183"/>
      <c r="AG626" s="21"/>
      <c r="AH626" s="183"/>
      <c r="AI626" s="21"/>
      <c r="AJ626" s="111"/>
      <c r="AK626" s="21"/>
      <c r="AL626" s="111"/>
      <c r="AM626" s="21"/>
    </row>
    <row r="627" spans="1:39" s="20" customFormat="1" ht="12.75">
      <c r="A627" s="22"/>
      <c r="B627" s="22"/>
      <c r="C627" s="22"/>
      <c r="D627" s="22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</row>
    <row r="628" spans="1:39" s="20" customFormat="1" ht="12.75">
      <c r="A628" s="22"/>
      <c r="B628" s="22"/>
      <c r="C628" s="22"/>
      <c r="D628" s="22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</row>
    <row r="629" spans="1:39" s="20" customFormat="1" ht="12.75">
      <c r="A629" s="22"/>
      <c r="B629" s="22"/>
      <c r="C629" s="22"/>
      <c r="D629" s="22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</row>
    <row r="630" spans="1:39" s="20" customFormat="1" ht="12.75">
      <c r="A630" s="22"/>
      <c r="B630" s="22"/>
      <c r="C630" s="22"/>
      <c r="D630" s="22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</row>
    <row r="631" spans="1:39" s="20" customFormat="1" ht="12.75">
      <c r="A631" s="22"/>
      <c r="B631" s="22"/>
      <c r="C631" s="22"/>
      <c r="D631" s="22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</row>
    <row r="632" spans="1:39" s="20" customFormat="1" ht="12.75">
      <c r="A632" s="22"/>
      <c r="B632" s="22"/>
      <c r="C632" s="22"/>
      <c r="D632" s="22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</row>
    <row r="633" spans="1:39" s="20" customFormat="1" ht="12.75">
      <c r="A633" s="22"/>
      <c r="B633" s="22"/>
      <c r="C633" s="22"/>
      <c r="D633" s="22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</row>
    <row r="634" spans="1:39" s="20" customFormat="1" ht="12.75">
      <c r="A634" s="22"/>
      <c r="B634" s="22"/>
      <c r="C634" s="22"/>
      <c r="D634" s="22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</row>
    <row r="635" spans="1:39" s="20" customFormat="1" ht="12.75">
      <c r="A635" s="22"/>
      <c r="B635" s="22"/>
      <c r="C635" s="22"/>
      <c r="D635" s="22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</row>
    <row r="636" spans="1:39" s="20" customFormat="1" ht="12.75">
      <c r="A636" s="22"/>
      <c r="B636" s="22"/>
      <c r="C636" s="22"/>
      <c r="D636" s="22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</row>
    <row r="637" spans="1:39" s="20" customFormat="1" ht="12.75">
      <c r="A637" s="22"/>
      <c r="B637" s="22"/>
      <c r="C637" s="22"/>
      <c r="D637" s="22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</row>
    <row r="638" spans="1:39" s="20" customFormat="1" ht="12.75">
      <c r="A638" s="22"/>
      <c r="B638" s="22"/>
      <c r="C638" s="22"/>
      <c r="D638" s="22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</row>
    <row r="639" spans="1:39" s="20" customFormat="1" ht="12.75">
      <c r="A639" s="22"/>
      <c r="B639" s="22"/>
      <c r="C639" s="22"/>
      <c r="D639" s="22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</row>
    <row r="640" spans="1:39" s="20" customFormat="1" ht="12.75">
      <c r="A640" s="22"/>
      <c r="B640" s="22"/>
      <c r="C640" s="22"/>
      <c r="D640" s="22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</row>
    <row r="641" spans="1:39" s="20" customFormat="1" ht="12.75">
      <c r="A641" s="22"/>
      <c r="B641" s="22"/>
      <c r="C641" s="22"/>
      <c r="D641" s="22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</row>
    <row r="642" spans="1:39" s="20" customFormat="1" ht="12.75">
      <c r="A642" s="22"/>
      <c r="B642" s="22"/>
      <c r="C642" s="22"/>
      <c r="D642" s="22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</row>
    <row r="643" spans="1:39" s="20" customFormat="1" ht="12.75">
      <c r="A643" s="22"/>
      <c r="B643" s="22"/>
      <c r="C643" s="22"/>
      <c r="D643" s="22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</row>
    <row r="644" spans="1:39" s="20" customFormat="1" ht="12.75">
      <c r="A644" s="22"/>
      <c r="B644" s="22"/>
      <c r="C644" s="22"/>
      <c r="D644" s="22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</row>
    <row r="645" spans="1:39" s="20" customFormat="1" ht="12.75">
      <c r="A645" s="22"/>
      <c r="B645" s="22"/>
      <c r="C645" s="22"/>
      <c r="D645" s="22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</row>
    <row r="646" spans="1:39" s="20" customFormat="1" ht="12.75">
      <c r="A646" s="22"/>
      <c r="B646" s="22"/>
      <c r="C646" s="22"/>
      <c r="D646" s="22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</row>
    <row r="647" spans="1:39" s="20" customFormat="1" ht="12.75">
      <c r="A647" s="22"/>
      <c r="B647" s="22"/>
      <c r="C647" s="22"/>
      <c r="D647" s="22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</row>
    <row r="648" spans="1:39" s="20" customFormat="1" ht="12.75">
      <c r="A648" s="22"/>
      <c r="B648" s="22"/>
      <c r="C648" s="22"/>
      <c r="D648" s="22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</row>
    <row r="649" spans="1:39" s="20" customFormat="1" ht="12.75">
      <c r="A649" s="22"/>
      <c r="B649" s="22"/>
      <c r="C649" s="22"/>
      <c r="D649" s="22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</row>
    <row r="650" spans="1:39" s="20" customFormat="1" ht="12.75">
      <c r="A650" s="22"/>
      <c r="B650" s="22"/>
      <c r="C650" s="22"/>
      <c r="D650" s="22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</row>
    <row r="651" spans="1:39" s="20" customFormat="1" ht="12.75">
      <c r="A651" s="22"/>
      <c r="B651" s="22"/>
      <c r="C651" s="22"/>
      <c r="D651" s="22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</row>
    <row r="652" spans="1:39" s="20" customFormat="1" ht="12.75">
      <c r="A652" s="22"/>
      <c r="B652" s="22"/>
      <c r="C652" s="22"/>
      <c r="D652" s="22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</row>
    <row r="653" spans="1:39" s="20" customFormat="1" ht="12.75">
      <c r="A653" s="22"/>
      <c r="B653" s="22"/>
      <c r="C653" s="22"/>
      <c r="D653" s="22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</row>
    <row r="654" spans="1:39" s="20" customFormat="1" ht="12.75">
      <c r="A654" s="22"/>
      <c r="B654" s="22"/>
      <c r="C654" s="22"/>
      <c r="D654" s="22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</row>
    <row r="655" spans="1:39" s="20" customFormat="1" ht="12.75">
      <c r="A655" s="22"/>
      <c r="B655" s="22"/>
      <c r="C655" s="22"/>
      <c r="D655" s="22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</row>
    <row r="656" spans="1:39" s="20" customFormat="1" ht="12.75">
      <c r="A656" s="22"/>
      <c r="B656" s="22"/>
      <c r="C656" s="22"/>
      <c r="D656" s="22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</row>
    <row r="657" spans="1:39" s="20" customFormat="1" ht="12.75">
      <c r="A657" s="22"/>
      <c r="B657" s="22"/>
      <c r="C657" s="22"/>
      <c r="D657" s="22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</row>
    <row r="658" spans="1:39" s="20" customFormat="1" ht="12.75">
      <c r="A658" s="22"/>
      <c r="B658" s="22"/>
      <c r="C658" s="22"/>
      <c r="D658" s="22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</row>
    <row r="659" spans="1:39" s="20" customFormat="1" ht="12.75">
      <c r="A659" s="22"/>
      <c r="B659" s="22"/>
      <c r="C659" s="22"/>
      <c r="D659" s="22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</row>
    <row r="660" spans="1:39" s="20" customFormat="1" ht="12.75">
      <c r="A660" s="22"/>
      <c r="B660" s="22"/>
      <c r="C660" s="22"/>
      <c r="D660" s="22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</row>
    <row r="661" spans="1:39" s="20" customFormat="1" ht="12.75">
      <c r="A661" s="22"/>
      <c r="B661" s="22"/>
      <c r="C661" s="22"/>
      <c r="D661" s="22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</row>
    <row r="662" spans="1:39" s="20" customFormat="1" ht="12.75">
      <c r="A662" s="22"/>
      <c r="B662" s="22"/>
      <c r="C662" s="22"/>
      <c r="D662" s="22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</row>
    <row r="663" spans="1:39" s="20" customFormat="1" ht="12.75">
      <c r="A663" s="22"/>
      <c r="B663" s="22"/>
      <c r="C663" s="22"/>
      <c r="D663" s="22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</row>
    <row r="664" spans="1:39" s="20" customFormat="1" ht="12.75">
      <c r="A664" s="22"/>
      <c r="B664" s="22"/>
      <c r="C664" s="22"/>
      <c r="D664" s="22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</row>
    <row r="665" spans="1:39" s="20" customFormat="1" ht="12.75">
      <c r="A665" s="22"/>
      <c r="B665" s="22"/>
      <c r="C665" s="22"/>
      <c r="D665" s="22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</row>
    <row r="666" spans="1:39" s="20" customFormat="1" ht="12.75">
      <c r="A666" s="22"/>
      <c r="B666" s="22"/>
      <c r="C666" s="22"/>
      <c r="D666" s="22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</row>
    <row r="667" spans="1:39" s="20" customFormat="1" ht="12.75">
      <c r="A667" s="22"/>
      <c r="B667" s="22"/>
      <c r="C667" s="22"/>
      <c r="D667" s="22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</row>
    <row r="668" spans="1:39" s="20" customFormat="1" ht="12.75">
      <c r="A668" s="22"/>
      <c r="B668" s="22"/>
      <c r="C668" s="22"/>
      <c r="D668" s="22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</row>
    <row r="669" spans="1:39" s="20" customFormat="1" ht="12.75">
      <c r="A669" s="22"/>
      <c r="B669" s="22"/>
      <c r="C669" s="22"/>
      <c r="D669" s="22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</row>
    <row r="670" spans="1:39" s="20" customFormat="1" ht="12.75">
      <c r="A670" s="22"/>
      <c r="B670" s="22"/>
      <c r="C670" s="22"/>
      <c r="D670" s="22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</row>
    <row r="671" spans="1:39" s="20" customFormat="1" ht="12.75">
      <c r="A671" s="22"/>
      <c r="B671" s="22"/>
      <c r="C671" s="22"/>
      <c r="D671" s="22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</row>
    <row r="672" spans="1:39" s="20" customFormat="1" ht="12.75">
      <c r="A672" s="22"/>
      <c r="B672" s="22"/>
      <c r="C672" s="22"/>
      <c r="D672" s="22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</row>
    <row r="673" spans="1:39" s="20" customFormat="1" ht="12.75">
      <c r="A673" s="22"/>
      <c r="B673" s="22"/>
      <c r="C673" s="22"/>
      <c r="D673" s="22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</row>
    <row r="674" spans="1:39" s="20" customFormat="1" ht="12.75">
      <c r="A674" s="22"/>
      <c r="B674" s="22"/>
      <c r="C674" s="22"/>
      <c r="D674" s="22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</row>
    <row r="675" spans="1:39" s="20" customFormat="1" ht="12.75">
      <c r="A675" s="22"/>
      <c r="B675" s="22"/>
      <c r="C675" s="22"/>
      <c r="D675" s="22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</row>
    <row r="676" spans="1:39" s="20" customFormat="1" ht="12.75">
      <c r="A676" s="22"/>
      <c r="B676" s="22"/>
      <c r="C676" s="22"/>
      <c r="D676" s="22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</row>
    <row r="677" spans="1:39" s="20" customFormat="1" ht="12.75">
      <c r="A677" s="22"/>
      <c r="B677" s="22"/>
      <c r="C677" s="22"/>
      <c r="D677" s="22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</row>
    <row r="678" spans="1:39" s="20" customFormat="1" ht="12.75">
      <c r="A678" s="22"/>
      <c r="B678" s="22"/>
      <c r="C678" s="22"/>
      <c r="D678" s="22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</row>
    <row r="679" spans="1:39" s="20" customFormat="1" ht="12.75">
      <c r="A679" s="22"/>
      <c r="B679" s="22"/>
      <c r="C679" s="22"/>
      <c r="D679" s="22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</row>
    <row r="680" spans="1:39" s="20" customFormat="1" ht="12.75">
      <c r="A680" s="22"/>
      <c r="B680" s="22"/>
      <c r="C680" s="22"/>
      <c r="D680" s="22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</row>
    <row r="681" spans="1:39" s="20" customFormat="1" ht="12.75">
      <c r="A681" s="22"/>
      <c r="B681" s="22"/>
      <c r="C681" s="22"/>
      <c r="D681" s="22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</row>
    <row r="682" spans="1:39" s="20" customFormat="1" ht="12.75">
      <c r="A682" s="22"/>
      <c r="B682" s="22"/>
      <c r="C682" s="22"/>
      <c r="D682" s="22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</row>
    <row r="683" spans="1:39" s="20" customFormat="1" ht="12.75">
      <c r="A683" s="22"/>
      <c r="B683" s="22"/>
      <c r="C683" s="22"/>
      <c r="D683" s="22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</row>
    <row r="684" spans="1:39" s="20" customFormat="1" ht="12.75">
      <c r="A684" s="22"/>
      <c r="B684" s="22"/>
      <c r="C684" s="22"/>
      <c r="D684" s="22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</row>
    <row r="685" spans="1:39" s="20" customFormat="1" ht="12.75">
      <c r="A685" s="22"/>
      <c r="B685" s="22"/>
      <c r="C685" s="22"/>
      <c r="D685" s="22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</row>
    <row r="686" spans="1:39" s="20" customFormat="1" ht="12.75">
      <c r="A686" s="22"/>
      <c r="B686" s="22"/>
      <c r="C686" s="22"/>
      <c r="D686" s="22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</row>
    <row r="687" spans="1:39" s="20" customFormat="1" ht="12.75">
      <c r="A687" s="22"/>
      <c r="B687" s="22"/>
      <c r="C687" s="22"/>
      <c r="D687" s="22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</row>
    <row r="688" spans="1:39" s="20" customFormat="1" ht="12.75">
      <c r="A688" s="22"/>
      <c r="B688" s="22"/>
      <c r="C688" s="22"/>
      <c r="D688" s="22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</row>
    <row r="689" spans="1:39" s="20" customFormat="1" ht="12.75">
      <c r="A689" s="22"/>
      <c r="B689" s="22"/>
      <c r="C689" s="22"/>
      <c r="D689" s="22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</row>
    <row r="690" spans="1:39" s="20" customFormat="1" ht="12.75">
      <c r="A690" s="22"/>
      <c r="B690" s="22"/>
      <c r="C690" s="22"/>
      <c r="D690" s="22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</row>
    <row r="691" spans="1:39" s="20" customFormat="1" ht="12.75">
      <c r="A691" s="22"/>
      <c r="B691" s="22"/>
      <c r="C691" s="22"/>
      <c r="D691" s="22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</row>
    <row r="692" spans="1:39" s="20" customFormat="1" ht="12.75">
      <c r="A692" s="22"/>
      <c r="B692" s="22"/>
      <c r="C692" s="22"/>
      <c r="D692" s="22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</row>
    <row r="693" spans="1:39" s="20" customFormat="1" ht="12.75">
      <c r="A693" s="22"/>
      <c r="B693" s="22"/>
      <c r="C693" s="22"/>
      <c r="D693" s="22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</row>
    <row r="694" spans="1:39" s="20" customFormat="1" ht="12.75">
      <c r="A694" s="22"/>
      <c r="B694" s="22"/>
      <c r="C694" s="22"/>
      <c r="D694" s="22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</row>
    <row r="695" spans="1:39" s="20" customFormat="1" ht="12.75">
      <c r="A695" s="22"/>
      <c r="B695" s="22"/>
      <c r="C695" s="22"/>
      <c r="D695" s="22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</row>
    <row r="696" spans="1:39" s="20" customFormat="1" ht="12.75">
      <c r="A696" s="22"/>
      <c r="B696" s="22"/>
      <c r="C696" s="22"/>
      <c r="D696" s="22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</row>
    <row r="697" spans="1:39" s="20" customFormat="1" ht="12.75">
      <c r="A697" s="22"/>
      <c r="B697" s="22"/>
      <c r="C697" s="22"/>
      <c r="D697" s="22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</row>
    <row r="698" spans="1:39" s="20" customFormat="1" ht="12.75">
      <c r="A698" s="22"/>
      <c r="B698" s="22"/>
      <c r="C698" s="22"/>
      <c r="D698" s="22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</row>
    <row r="699" spans="1:39" s="20" customFormat="1" ht="12.75">
      <c r="A699" s="22"/>
      <c r="B699" s="22"/>
      <c r="C699" s="22"/>
      <c r="D699" s="22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</row>
    <row r="700" spans="1:39" s="20" customFormat="1" ht="12.75">
      <c r="A700" s="22"/>
      <c r="B700" s="22"/>
      <c r="C700" s="22"/>
      <c r="D700" s="22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</row>
    <row r="701" spans="1:39" s="20" customFormat="1" ht="12.75">
      <c r="A701" s="22"/>
      <c r="B701" s="22"/>
      <c r="C701" s="22"/>
      <c r="D701" s="22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</row>
    <row r="702" spans="1:39" s="20" customFormat="1" ht="12.75">
      <c r="A702" s="22"/>
      <c r="B702" s="22"/>
      <c r="C702" s="22"/>
      <c r="D702" s="22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</row>
    <row r="703" spans="1:39" s="20" customFormat="1" ht="12.75">
      <c r="A703" s="22"/>
      <c r="B703" s="22"/>
      <c r="C703" s="22"/>
      <c r="D703" s="22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</row>
    <row r="704" spans="1:39" s="20" customFormat="1" ht="12.75">
      <c r="A704" s="22"/>
      <c r="B704" s="22"/>
      <c r="C704" s="22"/>
      <c r="D704" s="22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</row>
    <row r="705" spans="1:39" s="20" customFormat="1" ht="12.75">
      <c r="A705" s="22"/>
      <c r="B705" s="22"/>
      <c r="C705" s="22"/>
      <c r="D705" s="22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</row>
    <row r="706" spans="1:39" s="20" customFormat="1" ht="12.75">
      <c r="A706" s="22"/>
      <c r="B706" s="22"/>
      <c r="C706" s="22"/>
      <c r="D706" s="22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</row>
    <row r="707" spans="1:39" s="20" customFormat="1" ht="12.75">
      <c r="A707" s="22"/>
      <c r="B707" s="22"/>
      <c r="C707" s="22"/>
      <c r="D707" s="22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</row>
    <row r="708" spans="1:39" s="20" customFormat="1" ht="12.75">
      <c r="A708" s="22"/>
      <c r="B708" s="22"/>
      <c r="C708" s="22"/>
      <c r="D708" s="22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</row>
    <row r="709" spans="1:39" s="20" customFormat="1" ht="12.75">
      <c r="A709" s="22"/>
      <c r="B709" s="22"/>
      <c r="C709" s="22"/>
      <c r="D709" s="22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</row>
    <row r="710" spans="1:39" s="20" customFormat="1" ht="12.75">
      <c r="A710" s="22"/>
      <c r="B710" s="22"/>
      <c r="C710" s="22"/>
      <c r="D710" s="22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</row>
    <row r="711" spans="1:39" s="20" customFormat="1" ht="12.75">
      <c r="A711" s="22"/>
      <c r="B711" s="22"/>
      <c r="C711" s="22"/>
      <c r="D711" s="22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</row>
    <row r="712" spans="1:39" s="20" customFormat="1" ht="12.75">
      <c r="A712" s="22"/>
      <c r="B712" s="22"/>
      <c r="C712" s="22"/>
      <c r="D712" s="22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</row>
    <row r="713" spans="1:39" s="20" customFormat="1" ht="12.75">
      <c r="A713" s="22"/>
      <c r="B713" s="22"/>
      <c r="C713" s="22"/>
      <c r="D713" s="22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</row>
    <row r="714" spans="1:39" s="20" customFormat="1" ht="12.75">
      <c r="A714" s="22"/>
      <c r="B714" s="22"/>
      <c r="C714" s="22"/>
      <c r="D714" s="22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</row>
    <row r="715" spans="1:39" s="20" customFormat="1" ht="12.75">
      <c r="A715" s="22"/>
      <c r="B715" s="22"/>
      <c r="C715" s="22"/>
      <c r="D715" s="22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</row>
    <row r="716" spans="1:39" s="20" customFormat="1" ht="12.75">
      <c r="A716" s="22"/>
      <c r="B716" s="22"/>
      <c r="C716" s="22"/>
      <c r="D716" s="22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</row>
    <row r="717" spans="1:39" s="20" customFormat="1" ht="12.75">
      <c r="A717" s="22"/>
      <c r="B717" s="22"/>
      <c r="C717" s="22"/>
      <c r="D717" s="22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</row>
    <row r="718" spans="1:39" s="20" customFormat="1" ht="12.75">
      <c r="A718" s="22"/>
      <c r="B718" s="22"/>
      <c r="C718" s="22"/>
      <c r="D718" s="22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</row>
    <row r="719" spans="1:39" s="20" customFormat="1" ht="12.75">
      <c r="A719" s="22"/>
      <c r="B719" s="22"/>
      <c r="C719" s="22"/>
      <c r="D719" s="22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</row>
    <row r="720" spans="1:39" s="20" customFormat="1" ht="12.75">
      <c r="A720" s="22"/>
      <c r="B720" s="22"/>
      <c r="C720" s="22"/>
      <c r="D720" s="22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</row>
    <row r="721" spans="1:39" s="20" customFormat="1" ht="12.75">
      <c r="A721" s="22"/>
      <c r="B721" s="22"/>
      <c r="C721" s="22"/>
      <c r="D721" s="22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</row>
    <row r="722" spans="1:39" s="20" customFormat="1" ht="12.75">
      <c r="A722" s="22"/>
      <c r="B722" s="22"/>
      <c r="C722" s="22"/>
      <c r="D722" s="22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</row>
    <row r="723" spans="1:39" s="20" customFormat="1" ht="12.75">
      <c r="A723" s="22"/>
      <c r="B723" s="22"/>
      <c r="C723" s="22"/>
      <c r="D723" s="22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</row>
    <row r="724" spans="1:39" s="20" customFormat="1" ht="12.75">
      <c r="A724" s="22"/>
      <c r="B724" s="22"/>
      <c r="C724" s="22"/>
      <c r="D724" s="22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</row>
    <row r="725" spans="1:39" s="20" customFormat="1" ht="12.75">
      <c r="A725" s="22"/>
      <c r="B725" s="22"/>
      <c r="C725" s="22"/>
      <c r="D725" s="22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</row>
    <row r="726" spans="1:39" s="20" customFormat="1" ht="12.75">
      <c r="A726" s="22"/>
      <c r="B726" s="22"/>
      <c r="C726" s="22"/>
      <c r="D726" s="22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</row>
    <row r="727" spans="1:39" s="20" customFormat="1" ht="12.75">
      <c r="A727" s="22"/>
      <c r="B727" s="22"/>
      <c r="C727" s="22"/>
      <c r="D727" s="22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</row>
    <row r="728" spans="1:39" s="20" customFormat="1" ht="12.75">
      <c r="A728" s="22"/>
      <c r="B728" s="22"/>
      <c r="C728" s="22"/>
      <c r="D728" s="22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</row>
    <row r="729" spans="1:39" s="20" customFormat="1" ht="12.75">
      <c r="A729" s="22"/>
      <c r="B729" s="22"/>
      <c r="C729" s="22"/>
      <c r="D729" s="22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</row>
    <row r="730" spans="1:39" s="20" customFormat="1" ht="12.75">
      <c r="A730" s="22"/>
      <c r="B730" s="22"/>
      <c r="C730" s="22"/>
      <c r="D730" s="22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</row>
    <row r="731" spans="1:39" s="20" customFormat="1" ht="12.75">
      <c r="A731" s="22"/>
      <c r="B731" s="22"/>
      <c r="C731" s="22"/>
      <c r="D731" s="22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</row>
    <row r="732" spans="1:39" s="20" customFormat="1" ht="12.75">
      <c r="A732" s="22"/>
      <c r="B732" s="22"/>
      <c r="C732" s="22"/>
      <c r="D732" s="22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</row>
    <row r="733" spans="1:39" s="20" customFormat="1" ht="12.75">
      <c r="A733" s="22"/>
      <c r="B733" s="22"/>
      <c r="C733" s="22"/>
      <c r="D733" s="22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</row>
    <row r="734" spans="1:39" s="20" customFormat="1" ht="12.75">
      <c r="A734" s="22"/>
      <c r="B734" s="22"/>
      <c r="C734" s="22"/>
      <c r="D734" s="22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</row>
    <row r="735" spans="1:39" s="20" customFormat="1" ht="12.75">
      <c r="A735" s="22"/>
      <c r="B735" s="22"/>
      <c r="C735" s="22"/>
      <c r="D735" s="22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</row>
    <row r="736" spans="1:39" s="20" customFormat="1" ht="12.75">
      <c r="A736" s="22"/>
      <c r="B736" s="22"/>
      <c r="C736" s="22"/>
      <c r="D736" s="22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</row>
    <row r="737" spans="1:39" s="20" customFormat="1" ht="12.75">
      <c r="A737" s="22"/>
      <c r="B737" s="22"/>
      <c r="C737" s="22"/>
      <c r="D737" s="22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</row>
    <row r="738" spans="1:39" s="20" customFormat="1" ht="12.75">
      <c r="A738" s="22"/>
      <c r="B738" s="22"/>
      <c r="C738" s="22"/>
      <c r="D738" s="22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</row>
    <row r="739" spans="1:39" s="20" customFormat="1" ht="12.75">
      <c r="A739" s="22"/>
      <c r="B739" s="22"/>
      <c r="C739" s="22"/>
      <c r="D739" s="22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</row>
    <row r="740" spans="1:39" s="20" customFormat="1" ht="12.75">
      <c r="A740" s="22"/>
      <c r="B740" s="22"/>
      <c r="C740" s="22"/>
      <c r="D740" s="22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</row>
    <row r="741" spans="1:39" s="20" customFormat="1" ht="12.75">
      <c r="A741" s="22"/>
      <c r="B741" s="22"/>
      <c r="C741" s="22"/>
      <c r="D741" s="22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</row>
    <row r="742" spans="1:39" s="20" customFormat="1" ht="12.75">
      <c r="A742" s="22"/>
      <c r="B742" s="22"/>
      <c r="C742" s="22"/>
      <c r="D742" s="22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</row>
    <row r="743" spans="1:39" s="20" customFormat="1" ht="12.75">
      <c r="A743" s="22"/>
      <c r="B743" s="22"/>
      <c r="C743" s="22"/>
      <c r="D743" s="22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</row>
    <row r="744" spans="1:39" s="20" customFormat="1" ht="12.75">
      <c r="A744" s="22"/>
      <c r="B744" s="22"/>
      <c r="C744" s="22"/>
      <c r="D744" s="22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</row>
    <row r="745" spans="1:39" s="20" customFormat="1" ht="12.75">
      <c r="A745" s="22"/>
      <c r="B745" s="22"/>
      <c r="C745" s="22"/>
      <c r="D745" s="22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</row>
    <row r="746" spans="1:39" s="20" customFormat="1" ht="12.75">
      <c r="A746" s="22"/>
      <c r="B746" s="22"/>
      <c r="C746" s="22"/>
      <c r="D746" s="22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</row>
    <row r="747" spans="1:39" s="20" customFormat="1" ht="12.75">
      <c r="A747" s="22"/>
      <c r="B747" s="22"/>
      <c r="C747" s="22"/>
      <c r="D747" s="22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</row>
    <row r="748" spans="1:39" s="20" customFormat="1" ht="12.75">
      <c r="A748" s="22"/>
      <c r="B748" s="22"/>
      <c r="C748" s="22"/>
      <c r="D748" s="22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</row>
    <row r="749" spans="1:39" s="20" customFormat="1" ht="12.75">
      <c r="A749" s="22"/>
      <c r="B749" s="22"/>
      <c r="C749" s="22"/>
      <c r="D749" s="22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</row>
    <row r="750" spans="1:39" s="20" customFormat="1" ht="12.75">
      <c r="A750" s="22"/>
      <c r="B750" s="22"/>
      <c r="C750" s="22"/>
      <c r="D750" s="22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</row>
    <row r="751" spans="1:39" s="20" customFormat="1" ht="12.75">
      <c r="A751" s="22"/>
      <c r="B751" s="22"/>
      <c r="C751" s="22"/>
      <c r="D751" s="22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</row>
    <row r="752" spans="1:39" s="20" customFormat="1" ht="12.75">
      <c r="A752" s="22"/>
      <c r="B752" s="22"/>
      <c r="C752" s="22"/>
      <c r="D752" s="22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</row>
    <row r="753" spans="1:39" s="20" customFormat="1" ht="12.75">
      <c r="A753" s="22"/>
      <c r="B753" s="22"/>
      <c r="C753" s="22"/>
      <c r="D753" s="22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</row>
    <row r="754" spans="1:39" s="20" customFormat="1" ht="12.75">
      <c r="A754" s="22"/>
      <c r="B754" s="22"/>
      <c r="C754" s="22"/>
      <c r="D754" s="22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</row>
    <row r="755" spans="1:39" s="20" customFormat="1" ht="12.75">
      <c r="A755" s="22"/>
      <c r="B755" s="22"/>
      <c r="C755" s="22"/>
      <c r="D755" s="22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</row>
    <row r="756" spans="1:39" s="20" customFormat="1" ht="12.75">
      <c r="A756" s="22"/>
      <c r="B756" s="22"/>
      <c r="C756" s="22"/>
      <c r="D756" s="22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</row>
    <row r="757" spans="1:39" s="20" customFormat="1" ht="12.75">
      <c r="A757" s="22"/>
      <c r="B757" s="22"/>
      <c r="C757" s="22"/>
      <c r="D757" s="22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</row>
    <row r="758" spans="1:39" s="20" customFormat="1" ht="12.75">
      <c r="A758" s="22"/>
      <c r="B758" s="22"/>
      <c r="C758" s="22"/>
      <c r="D758" s="22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</row>
    <row r="759" spans="1:39" s="20" customFormat="1" ht="12.75">
      <c r="A759" s="22"/>
      <c r="B759" s="22"/>
      <c r="C759" s="22"/>
      <c r="D759" s="22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</row>
    <row r="760" spans="1:39" s="20" customFormat="1" ht="12.75">
      <c r="A760" s="22"/>
      <c r="B760" s="22"/>
      <c r="C760" s="22"/>
      <c r="D760" s="22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</row>
    <row r="761" spans="1:39" s="20" customFormat="1" ht="12.75">
      <c r="A761" s="22"/>
      <c r="B761" s="22"/>
      <c r="C761" s="22"/>
      <c r="D761" s="22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</row>
    <row r="762" spans="1:39" s="20" customFormat="1" ht="12.75">
      <c r="A762" s="22"/>
      <c r="B762" s="22"/>
      <c r="C762" s="22"/>
      <c r="D762" s="22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</row>
    <row r="763" spans="1:39" s="20" customFormat="1" ht="12.75">
      <c r="A763" s="22"/>
      <c r="B763" s="22"/>
      <c r="C763" s="22"/>
      <c r="D763" s="22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</row>
    <row r="764" spans="1:39" s="20" customFormat="1" ht="12.75">
      <c r="A764" s="22"/>
      <c r="B764" s="22"/>
      <c r="C764" s="22"/>
      <c r="D764" s="22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</row>
    <row r="765" spans="1:39" s="20" customFormat="1" ht="12.75">
      <c r="A765" s="22"/>
      <c r="B765" s="22"/>
      <c r="C765" s="22"/>
      <c r="D765" s="22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</row>
    <row r="766" spans="1:39" s="20" customFormat="1" ht="12.75">
      <c r="A766" s="22"/>
      <c r="B766" s="22"/>
      <c r="C766" s="22"/>
      <c r="D766" s="22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</row>
    <row r="767" spans="1:39" s="20" customFormat="1" ht="12.75">
      <c r="A767" s="22"/>
      <c r="B767" s="22"/>
      <c r="C767" s="22"/>
      <c r="D767" s="22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</row>
    <row r="768" spans="1:39" s="20" customFormat="1" ht="12.75">
      <c r="A768" s="22"/>
      <c r="B768" s="22"/>
      <c r="C768" s="22"/>
      <c r="D768" s="22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</row>
    <row r="769" spans="1:39" s="20" customFormat="1" ht="12.75">
      <c r="A769" s="22"/>
      <c r="B769" s="22"/>
      <c r="C769" s="22"/>
      <c r="D769" s="22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</row>
    <row r="770" spans="1:39" s="20" customFormat="1" ht="12.75">
      <c r="A770" s="22"/>
      <c r="B770" s="22"/>
      <c r="C770" s="22"/>
      <c r="D770" s="22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</row>
    <row r="771" spans="1:39" s="20" customFormat="1" ht="12.75">
      <c r="A771" s="22"/>
      <c r="B771" s="22"/>
      <c r="C771" s="22"/>
      <c r="D771" s="22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</row>
    <row r="772" spans="1:39" s="20" customFormat="1" ht="12.75">
      <c r="A772" s="22"/>
      <c r="B772" s="22"/>
      <c r="C772" s="22"/>
      <c r="D772" s="22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</row>
    <row r="773" spans="1:39" s="20" customFormat="1" ht="12.75">
      <c r="A773" s="22"/>
      <c r="B773" s="22"/>
      <c r="C773" s="22"/>
      <c r="D773" s="22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</row>
    <row r="774" spans="1:39" s="20" customFormat="1" ht="12.75">
      <c r="A774" s="22"/>
      <c r="B774" s="22"/>
      <c r="C774" s="22"/>
      <c r="D774" s="22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</row>
    <row r="775" spans="1:39" s="20" customFormat="1" ht="12.75">
      <c r="A775" s="22"/>
      <c r="B775" s="22"/>
      <c r="C775" s="22"/>
      <c r="D775" s="22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</row>
    <row r="776" spans="1:39" s="20" customFormat="1" ht="12.75">
      <c r="A776" s="22"/>
      <c r="B776" s="22"/>
      <c r="C776" s="22"/>
      <c r="D776" s="22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</row>
    <row r="777" spans="1:39" s="20" customFormat="1" ht="12.75">
      <c r="A777" s="22"/>
      <c r="B777" s="22"/>
      <c r="C777" s="22"/>
      <c r="D777" s="22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</row>
    <row r="778" spans="1:39" s="20" customFormat="1" ht="12.75">
      <c r="A778" s="22"/>
      <c r="B778" s="22"/>
      <c r="C778" s="22"/>
      <c r="D778" s="22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</row>
    <row r="779" spans="1:39" s="20" customFormat="1" ht="12.75">
      <c r="A779" s="22"/>
      <c r="B779" s="22"/>
      <c r="C779" s="22"/>
      <c r="D779" s="22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</row>
    <row r="780" spans="1:39" s="20" customFormat="1" ht="12.75">
      <c r="A780" s="22"/>
      <c r="B780" s="22"/>
      <c r="C780" s="22"/>
      <c r="D780" s="22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</row>
    <row r="781" spans="1:39" s="20" customFormat="1" ht="12.75">
      <c r="A781" s="22"/>
      <c r="B781" s="22"/>
      <c r="C781" s="22"/>
      <c r="D781" s="22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</row>
    <row r="782" spans="1:39" s="20" customFormat="1" ht="12.75">
      <c r="A782" s="22"/>
      <c r="B782" s="22"/>
      <c r="C782" s="22"/>
      <c r="D782" s="22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</row>
    <row r="783" spans="1:39" s="20" customFormat="1" ht="12.75">
      <c r="A783" s="22"/>
      <c r="B783" s="22"/>
      <c r="C783" s="22"/>
      <c r="D783" s="22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</row>
    <row r="784" spans="1:39" s="20" customFormat="1" ht="12.75">
      <c r="A784" s="22"/>
      <c r="B784" s="22"/>
      <c r="C784" s="22"/>
      <c r="D784" s="22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</row>
    <row r="785" spans="1:39" s="20" customFormat="1" ht="12.75">
      <c r="A785" s="22"/>
      <c r="B785" s="22"/>
      <c r="C785" s="22"/>
      <c r="D785" s="22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</row>
    <row r="786" spans="1:39" s="20" customFormat="1" ht="12.75">
      <c r="A786" s="22"/>
      <c r="B786" s="22"/>
      <c r="C786" s="22"/>
      <c r="D786" s="22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</row>
    <row r="787" spans="1:39" s="20" customFormat="1" ht="12.75">
      <c r="A787" s="22"/>
      <c r="B787" s="22"/>
      <c r="C787" s="22"/>
      <c r="D787" s="22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</row>
    <row r="788" spans="1:39" s="20" customFormat="1" ht="12.75">
      <c r="A788" s="22"/>
      <c r="B788" s="22"/>
      <c r="C788" s="22"/>
      <c r="D788" s="22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</row>
    <row r="789" spans="1:39" s="20" customFormat="1" ht="12.75">
      <c r="A789" s="22"/>
      <c r="B789" s="22"/>
      <c r="C789" s="22"/>
      <c r="D789" s="22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</row>
    <row r="790" spans="1:39" s="20" customFormat="1" ht="12.75">
      <c r="A790" s="22"/>
      <c r="B790" s="22"/>
      <c r="C790" s="22"/>
      <c r="D790" s="22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</row>
    <row r="791" spans="1:39" s="20" customFormat="1" ht="12.75">
      <c r="A791" s="22"/>
      <c r="B791" s="22"/>
      <c r="C791" s="22"/>
      <c r="D791" s="22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</row>
    <row r="792" spans="1:39" s="20" customFormat="1" ht="12.75">
      <c r="A792" s="22"/>
      <c r="B792" s="22"/>
      <c r="C792" s="22"/>
      <c r="D792" s="22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</row>
    <row r="793" spans="1:39" s="20" customFormat="1" ht="12.75">
      <c r="A793" s="22"/>
      <c r="B793" s="22"/>
      <c r="C793" s="22"/>
      <c r="D793" s="22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</row>
    <row r="794" spans="1:39" s="20" customFormat="1" ht="12.75">
      <c r="A794" s="22"/>
      <c r="B794" s="22"/>
      <c r="C794" s="22"/>
      <c r="D794" s="22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</row>
    <row r="795" spans="1:39" s="20" customFormat="1" ht="12.75">
      <c r="A795" s="22"/>
      <c r="B795" s="22"/>
      <c r="C795" s="22"/>
      <c r="D795" s="22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</row>
    <row r="796" spans="1:39" s="20" customFormat="1" ht="12.75">
      <c r="A796" s="22"/>
      <c r="B796" s="22"/>
      <c r="C796" s="22"/>
      <c r="D796" s="22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</row>
    <row r="797" spans="1:39" s="20" customFormat="1" ht="12.75">
      <c r="A797" s="22"/>
      <c r="B797" s="22"/>
      <c r="C797" s="22"/>
      <c r="D797" s="22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</row>
    <row r="798" spans="1:39" s="20" customFormat="1" ht="12.75">
      <c r="A798" s="22"/>
      <c r="B798" s="22"/>
      <c r="C798" s="22"/>
      <c r="D798" s="22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</row>
    <row r="799" spans="1:39" s="20" customFormat="1" ht="12.75">
      <c r="A799" s="22"/>
      <c r="B799" s="22"/>
      <c r="C799" s="22"/>
      <c r="D799" s="22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</row>
    <row r="800" spans="1:39" s="20" customFormat="1" ht="12.75">
      <c r="A800" s="22"/>
      <c r="B800" s="22"/>
      <c r="C800" s="22"/>
      <c r="D800" s="22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</row>
    <row r="801" spans="1:39" s="20" customFormat="1" ht="12.75">
      <c r="A801" s="22"/>
      <c r="B801" s="22"/>
      <c r="C801" s="22"/>
      <c r="D801" s="22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</row>
    <row r="802" spans="1:39" s="20" customFormat="1" ht="12.75">
      <c r="A802" s="22"/>
      <c r="B802" s="22"/>
      <c r="C802" s="22"/>
      <c r="D802" s="22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</row>
    <row r="803" spans="1:39" s="20" customFormat="1" ht="12.75">
      <c r="A803" s="22"/>
      <c r="B803" s="22"/>
      <c r="C803" s="22"/>
      <c r="D803" s="22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</row>
    <row r="804" spans="1:39" s="20" customFormat="1" ht="12.75">
      <c r="A804" s="22"/>
      <c r="B804" s="22"/>
      <c r="C804" s="22"/>
      <c r="D804" s="22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</row>
    <row r="805" spans="1:39" s="20" customFormat="1" ht="12.75">
      <c r="A805" s="22"/>
      <c r="B805" s="22"/>
      <c r="C805" s="22"/>
      <c r="D805" s="22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</row>
    <row r="806" spans="1:39" s="20" customFormat="1" ht="12.75">
      <c r="A806" s="22"/>
      <c r="B806" s="22"/>
      <c r="C806" s="22"/>
      <c r="D806" s="22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</row>
    <row r="807" spans="1:39" s="20" customFormat="1" ht="12.75">
      <c r="A807" s="22"/>
      <c r="B807" s="22"/>
      <c r="C807" s="22"/>
      <c r="D807" s="22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</row>
    <row r="808" spans="1:39" s="20" customFormat="1" ht="12.75">
      <c r="A808" s="22"/>
      <c r="B808" s="22"/>
      <c r="C808" s="22"/>
      <c r="D808" s="22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</row>
    <row r="809" spans="1:39" s="20" customFormat="1" ht="12.75">
      <c r="A809" s="22"/>
      <c r="B809" s="22"/>
      <c r="C809" s="22"/>
      <c r="D809" s="22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</row>
    <row r="810" spans="1:39" s="20" customFormat="1" ht="12.75">
      <c r="A810" s="22"/>
      <c r="B810" s="22"/>
      <c r="C810" s="22"/>
      <c r="D810" s="22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</row>
    <row r="811" spans="1:39" s="20" customFormat="1" ht="12.75">
      <c r="A811" s="22"/>
      <c r="B811" s="22"/>
      <c r="C811" s="22"/>
      <c r="D811" s="22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</row>
    <row r="812" spans="1:39" s="20" customFormat="1" ht="12.75">
      <c r="A812" s="22"/>
      <c r="B812" s="22"/>
      <c r="C812" s="22"/>
      <c r="D812" s="22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</row>
    <row r="813" spans="1:39" s="20" customFormat="1" ht="12.75">
      <c r="A813" s="22"/>
      <c r="B813" s="22"/>
      <c r="C813" s="22"/>
      <c r="D813" s="22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</row>
    <row r="814" spans="1:39" s="20" customFormat="1" ht="12.75">
      <c r="A814" s="22"/>
      <c r="B814" s="22"/>
      <c r="C814" s="22"/>
      <c r="D814" s="22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</row>
    <row r="815" spans="1:39" s="20" customFormat="1" ht="12.75">
      <c r="A815" s="22"/>
      <c r="B815" s="22"/>
      <c r="C815" s="22"/>
      <c r="D815" s="22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</row>
    <row r="816" spans="1:39" s="20" customFormat="1" ht="12.75">
      <c r="A816" s="22"/>
      <c r="B816" s="22"/>
      <c r="C816" s="22"/>
      <c r="D816" s="22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</row>
    <row r="817" spans="1:39" s="20" customFormat="1" ht="12.75">
      <c r="A817" s="22"/>
      <c r="B817" s="22"/>
      <c r="C817" s="22"/>
      <c r="D817" s="22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</row>
    <row r="818" spans="1:39" s="20" customFormat="1" ht="12.75">
      <c r="A818" s="22"/>
      <c r="B818" s="22"/>
      <c r="C818" s="22"/>
      <c r="D818" s="22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</row>
    <row r="819" spans="1:39" s="20" customFormat="1" ht="12.75">
      <c r="A819" s="22"/>
      <c r="B819" s="22"/>
      <c r="C819" s="22"/>
      <c r="D819" s="22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</row>
    <row r="820" spans="1:39" s="20" customFormat="1" ht="12.75">
      <c r="A820" s="22"/>
      <c r="B820" s="22"/>
      <c r="C820" s="22"/>
      <c r="D820" s="22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</row>
    <row r="821" spans="1:39" s="20" customFormat="1" ht="12.75">
      <c r="A821" s="22"/>
      <c r="B821" s="22"/>
      <c r="C821" s="22"/>
      <c r="D821" s="22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</row>
    <row r="822" spans="1:39" s="20" customFormat="1" ht="12.75">
      <c r="A822" s="22"/>
      <c r="B822" s="22"/>
      <c r="C822" s="22"/>
      <c r="D822" s="22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</row>
    <row r="823" spans="1:39" s="20" customFormat="1" ht="12.75">
      <c r="A823" s="22"/>
      <c r="B823" s="22"/>
      <c r="C823" s="22"/>
      <c r="D823" s="22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</row>
    <row r="824" spans="1:39" s="20" customFormat="1" ht="12.75">
      <c r="A824" s="22"/>
      <c r="B824" s="22"/>
      <c r="C824" s="22"/>
      <c r="D824" s="22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</row>
    <row r="825" spans="1:39" s="20" customFormat="1" ht="12.75">
      <c r="A825" s="22"/>
      <c r="B825" s="22"/>
      <c r="C825" s="22"/>
      <c r="D825" s="22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</row>
    <row r="826" spans="1:39" s="20" customFormat="1" ht="12.75">
      <c r="A826" s="22"/>
      <c r="B826" s="22"/>
      <c r="C826" s="22"/>
      <c r="D826" s="22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</row>
    <row r="827" spans="1:39" s="20" customFormat="1" ht="12.75">
      <c r="A827" s="22"/>
      <c r="B827" s="22"/>
      <c r="C827" s="22"/>
      <c r="D827" s="22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</row>
  </sheetData>
  <sheetProtection/>
  <mergeCells count="1">
    <mergeCell ref="A5:AM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4"/>
  <sheetViews>
    <sheetView zoomScalePageLayoutView="0" workbookViewId="0" topLeftCell="A1">
      <selection activeCell="A65" sqref="A65:IV74"/>
    </sheetView>
  </sheetViews>
  <sheetFormatPr defaultColWidth="9.00390625" defaultRowHeight="12.75"/>
  <cols>
    <col min="1" max="1" width="5.625" style="6" customWidth="1"/>
    <col min="2" max="2" width="7.125" style="6" customWidth="1"/>
    <col min="3" max="3" width="5.75390625" style="6" customWidth="1"/>
    <col min="4" max="4" width="32.75390625" style="6" customWidth="1"/>
    <col min="5" max="5" width="13.75390625" style="6" hidden="1" customWidth="1"/>
    <col min="6" max="6" width="14.875" style="6" hidden="1" customWidth="1"/>
    <col min="7" max="7" width="0.12890625" style="6" hidden="1" customWidth="1"/>
    <col min="8" max="8" width="14.875" style="6" hidden="1" customWidth="1"/>
    <col min="9" max="9" width="43.375" style="6" hidden="1" customWidth="1"/>
    <col min="10" max="10" width="9.25390625" style="6" hidden="1" customWidth="1"/>
    <col min="11" max="11" width="44.875" style="6" hidden="1" customWidth="1"/>
    <col min="12" max="12" width="10.75390625" style="6" hidden="1" customWidth="1"/>
    <col min="13" max="13" width="14.375" style="6" hidden="1" customWidth="1"/>
    <col min="14" max="14" width="14.875" style="6" hidden="1" customWidth="1"/>
    <col min="15" max="15" width="13.375" style="6" hidden="1" customWidth="1"/>
    <col min="16" max="16" width="14.875" style="6" hidden="1" customWidth="1"/>
    <col min="17" max="17" width="43.25390625" style="6" hidden="1" customWidth="1"/>
    <col min="18" max="18" width="9.25390625" style="6" hidden="1" customWidth="1"/>
    <col min="19" max="19" width="13.375" style="6" hidden="1" customWidth="1"/>
    <col min="20" max="20" width="14.875" style="6" hidden="1" customWidth="1"/>
    <col min="21" max="21" width="13.375" style="6" hidden="1" customWidth="1"/>
    <col min="22" max="22" width="14.875" style="6" hidden="1" customWidth="1"/>
    <col min="23" max="23" width="13.375" style="6" hidden="1" customWidth="1"/>
    <col min="24" max="24" width="14.875" style="6" hidden="1" customWidth="1"/>
    <col min="25" max="25" width="13.375" style="6" hidden="1" customWidth="1"/>
    <col min="26" max="26" width="14.00390625" style="6" hidden="1" customWidth="1"/>
    <col min="27" max="27" width="15.125" style="6" hidden="1" customWidth="1"/>
    <col min="28" max="28" width="14.00390625" style="6" hidden="1" customWidth="1"/>
    <col min="29" max="29" width="13.875" style="6" hidden="1" customWidth="1"/>
    <col min="30" max="30" width="14.00390625" style="6" hidden="1" customWidth="1"/>
    <col min="31" max="31" width="13.875" style="6" customWidth="1"/>
    <col min="32" max="32" width="14.00390625" style="6" customWidth="1"/>
    <col min="33" max="33" width="13.875" style="6" customWidth="1"/>
  </cols>
  <sheetData>
    <row r="1" spans="1:33" ht="12.75">
      <c r="A1" s="53"/>
      <c r="B1" s="53"/>
      <c r="C1" s="53"/>
      <c r="D1" s="53"/>
      <c r="E1" s="54" t="s">
        <v>309</v>
      </c>
      <c r="F1" s="54"/>
      <c r="G1" s="54" t="s">
        <v>318</v>
      </c>
      <c r="H1" s="54"/>
      <c r="I1" s="54" t="s">
        <v>350</v>
      </c>
      <c r="J1" s="54"/>
      <c r="K1" s="54" t="s">
        <v>373</v>
      </c>
      <c r="L1" s="54"/>
      <c r="M1" s="54" t="s">
        <v>380</v>
      </c>
      <c r="N1" s="54"/>
      <c r="O1" s="54" t="s">
        <v>389</v>
      </c>
      <c r="P1" s="54"/>
      <c r="Q1" s="54" t="s">
        <v>402</v>
      </c>
      <c r="R1" s="54"/>
      <c r="S1" s="54" t="s">
        <v>408</v>
      </c>
      <c r="T1" s="54"/>
      <c r="U1" s="54" t="s">
        <v>415</v>
      </c>
      <c r="V1" s="54"/>
      <c r="W1" s="54" t="s">
        <v>422</v>
      </c>
      <c r="X1" s="54"/>
      <c r="Y1" s="54" t="s">
        <v>445</v>
      </c>
      <c r="Z1" s="54"/>
      <c r="AA1" s="54" t="s">
        <v>456</v>
      </c>
      <c r="AB1" s="54"/>
      <c r="AC1" s="54" t="s">
        <v>481</v>
      </c>
      <c r="AD1" s="54"/>
      <c r="AE1" s="54" t="s">
        <v>495</v>
      </c>
      <c r="AF1" s="54"/>
      <c r="AG1" s="54"/>
    </row>
    <row r="2" spans="1:33" ht="12.75">
      <c r="A2" s="53"/>
      <c r="B2" s="53"/>
      <c r="C2" s="53"/>
      <c r="D2" s="53"/>
      <c r="E2" s="54" t="s">
        <v>304</v>
      </c>
      <c r="F2" s="54"/>
      <c r="G2" s="54" t="s">
        <v>315</v>
      </c>
      <c r="H2" s="54"/>
      <c r="I2" s="54" t="s">
        <v>348</v>
      </c>
      <c r="J2" s="54"/>
      <c r="K2" s="54" t="s">
        <v>370</v>
      </c>
      <c r="L2" s="54"/>
      <c r="M2" s="54" t="s">
        <v>378</v>
      </c>
      <c r="N2" s="54"/>
      <c r="O2" s="54" t="s">
        <v>388</v>
      </c>
      <c r="P2" s="54"/>
      <c r="Q2" s="54" t="s">
        <v>397</v>
      </c>
      <c r="R2" s="54"/>
      <c r="S2" s="54" t="s">
        <v>404</v>
      </c>
      <c r="T2" s="54"/>
      <c r="U2" s="54" t="s">
        <v>413</v>
      </c>
      <c r="V2" s="54"/>
      <c r="W2" s="54" t="s">
        <v>421</v>
      </c>
      <c r="X2" s="54"/>
      <c r="Y2" s="54" t="s">
        <v>443</v>
      </c>
      <c r="Z2" s="54"/>
      <c r="AA2" s="54" t="s">
        <v>452</v>
      </c>
      <c r="AB2" s="54"/>
      <c r="AC2" s="54" t="s">
        <v>482</v>
      </c>
      <c r="AD2" s="54"/>
      <c r="AE2" s="54" t="s">
        <v>493</v>
      </c>
      <c r="AF2" s="54"/>
      <c r="AG2" s="54"/>
    </row>
    <row r="3" spans="1:33" ht="12.75">
      <c r="A3" s="53"/>
      <c r="B3" s="53"/>
      <c r="C3" s="53"/>
      <c r="D3" s="53"/>
      <c r="E3" s="54" t="s">
        <v>310</v>
      </c>
      <c r="F3" s="54"/>
      <c r="G3" s="54" t="s">
        <v>309</v>
      </c>
      <c r="H3" s="54"/>
      <c r="I3" s="54" t="s">
        <v>318</v>
      </c>
      <c r="J3" s="54"/>
      <c r="K3" s="54" t="s">
        <v>350</v>
      </c>
      <c r="L3" s="54"/>
      <c r="M3" s="54" t="s">
        <v>373</v>
      </c>
      <c r="N3" s="54"/>
      <c r="O3" s="54" t="s">
        <v>380</v>
      </c>
      <c r="P3" s="54"/>
      <c r="Q3" s="54" t="s">
        <v>389</v>
      </c>
      <c r="R3" s="54"/>
      <c r="S3" s="54" t="s">
        <v>402</v>
      </c>
      <c r="T3" s="54"/>
      <c r="U3" s="54" t="s">
        <v>408</v>
      </c>
      <c r="V3" s="54"/>
      <c r="W3" s="54" t="s">
        <v>415</v>
      </c>
      <c r="X3" s="54"/>
      <c r="Y3" s="54" t="s">
        <v>422</v>
      </c>
      <c r="Z3" s="54"/>
      <c r="AA3" s="54" t="s">
        <v>445</v>
      </c>
      <c r="AB3" s="54"/>
      <c r="AC3" s="54" t="s">
        <v>456</v>
      </c>
      <c r="AD3" s="54"/>
      <c r="AE3" s="54" t="s">
        <v>481</v>
      </c>
      <c r="AF3" s="54"/>
      <c r="AG3" s="54"/>
    </row>
    <row r="4" spans="1:33" ht="12.75">
      <c r="A4" s="53"/>
      <c r="B4" s="53"/>
      <c r="C4" s="53"/>
      <c r="D4" s="53"/>
      <c r="E4" s="54" t="s">
        <v>306</v>
      </c>
      <c r="F4" s="54"/>
      <c r="G4" s="54" t="s">
        <v>312</v>
      </c>
      <c r="H4" s="54"/>
      <c r="I4" s="54" t="s">
        <v>326</v>
      </c>
      <c r="J4" s="54"/>
      <c r="K4" s="54" t="s">
        <v>358</v>
      </c>
      <c r="L4" s="54"/>
      <c r="M4" s="54" t="s">
        <v>374</v>
      </c>
      <c r="N4" s="54"/>
      <c r="O4" s="54" t="s">
        <v>384</v>
      </c>
      <c r="P4" s="54"/>
      <c r="Q4" s="54" t="s">
        <v>395</v>
      </c>
      <c r="R4" s="54"/>
      <c r="S4" s="54" t="s">
        <v>399</v>
      </c>
      <c r="T4" s="54"/>
      <c r="U4" s="54" t="s">
        <v>411</v>
      </c>
      <c r="V4" s="54"/>
      <c r="W4" s="54" t="s">
        <v>417</v>
      </c>
      <c r="X4" s="54"/>
      <c r="Y4" s="54" t="s">
        <v>437</v>
      </c>
      <c r="Z4" s="54"/>
      <c r="AA4" s="54" t="s">
        <v>449</v>
      </c>
      <c r="AB4" s="54"/>
      <c r="AC4" s="54" t="s">
        <v>458</v>
      </c>
      <c r="AD4" s="54"/>
      <c r="AE4" s="54" t="s">
        <v>491</v>
      </c>
      <c r="AF4" s="54"/>
      <c r="AG4" s="54"/>
    </row>
    <row r="5" spans="1:33" ht="15.75" customHeight="1">
      <c r="A5" s="262" t="s">
        <v>279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</row>
    <row r="6" spans="1:33" s="6" customFormat="1" ht="28.5" customHeight="1">
      <c r="A6" s="58" t="s">
        <v>0</v>
      </c>
      <c r="B6" s="58" t="s">
        <v>1</v>
      </c>
      <c r="C6" s="92" t="s">
        <v>2</v>
      </c>
      <c r="D6" s="58" t="s">
        <v>3</v>
      </c>
      <c r="E6" s="102" t="s">
        <v>141</v>
      </c>
      <c r="F6" s="102" t="s">
        <v>302</v>
      </c>
      <c r="G6" s="102" t="s">
        <v>319</v>
      </c>
      <c r="H6" s="102" t="s">
        <v>302</v>
      </c>
      <c r="I6" s="102" t="s">
        <v>323</v>
      </c>
      <c r="J6" s="102" t="s">
        <v>302</v>
      </c>
      <c r="K6" s="102" t="s">
        <v>142</v>
      </c>
      <c r="L6" s="102" t="s">
        <v>302</v>
      </c>
      <c r="M6" s="102" t="s">
        <v>142</v>
      </c>
      <c r="N6" s="102" t="s">
        <v>302</v>
      </c>
      <c r="O6" s="102" t="s">
        <v>142</v>
      </c>
      <c r="P6" s="102" t="s">
        <v>302</v>
      </c>
      <c r="Q6" s="102" t="s">
        <v>142</v>
      </c>
      <c r="R6" s="102" t="s">
        <v>302</v>
      </c>
      <c r="S6" s="102" t="s">
        <v>142</v>
      </c>
      <c r="T6" s="102" t="s">
        <v>302</v>
      </c>
      <c r="U6" s="102" t="s">
        <v>142</v>
      </c>
      <c r="V6" s="102" t="s">
        <v>302</v>
      </c>
      <c r="W6" s="102" t="s">
        <v>142</v>
      </c>
      <c r="X6" s="102" t="s">
        <v>302</v>
      </c>
      <c r="Y6" s="102" t="s">
        <v>142</v>
      </c>
      <c r="Z6" s="102" t="s">
        <v>302</v>
      </c>
      <c r="AA6" s="102" t="s">
        <v>142</v>
      </c>
      <c r="AB6" s="102" t="s">
        <v>302</v>
      </c>
      <c r="AC6" s="102" t="s">
        <v>142</v>
      </c>
      <c r="AD6" s="102" t="s">
        <v>302</v>
      </c>
      <c r="AE6" s="102" t="s">
        <v>142</v>
      </c>
      <c r="AF6" s="102" t="s">
        <v>302</v>
      </c>
      <c r="AG6" s="102" t="s">
        <v>300</v>
      </c>
    </row>
    <row r="7" spans="1:33" s="148" customFormat="1" ht="28.5" customHeight="1">
      <c r="A7" s="216" t="s">
        <v>4</v>
      </c>
      <c r="B7" s="210"/>
      <c r="C7" s="211"/>
      <c r="D7" s="118" t="s">
        <v>5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5">
        <f aca="true" t="shared" si="0" ref="O7:AF8">SUM(O8)</f>
        <v>0</v>
      </c>
      <c r="P7" s="215">
        <f t="shared" si="0"/>
        <v>271797</v>
      </c>
      <c r="Q7" s="215">
        <f t="shared" si="0"/>
        <v>271797</v>
      </c>
      <c r="R7" s="215">
        <f t="shared" si="0"/>
        <v>0</v>
      </c>
      <c r="S7" s="215">
        <f t="shared" si="0"/>
        <v>271797</v>
      </c>
      <c r="T7" s="215">
        <f t="shared" si="0"/>
        <v>0</v>
      </c>
      <c r="U7" s="215">
        <f t="shared" si="0"/>
        <v>271797</v>
      </c>
      <c r="V7" s="215">
        <f t="shared" si="0"/>
        <v>0</v>
      </c>
      <c r="W7" s="215">
        <f t="shared" si="0"/>
        <v>271797</v>
      </c>
      <c r="X7" s="215">
        <f t="shared" si="0"/>
        <v>0</v>
      </c>
      <c r="Y7" s="215">
        <f t="shared" si="0"/>
        <v>271797</v>
      </c>
      <c r="Z7" s="215">
        <f t="shared" si="0"/>
        <v>0</v>
      </c>
      <c r="AA7" s="215">
        <f t="shared" si="0"/>
        <v>271797</v>
      </c>
      <c r="AB7" s="215">
        <f t="shared" si="0"/>
        <v>0</v>
      </c>
      <c r="AC7" s="215">
        <f t="shared" si="0"/>
        <v>271797</v>
      </c>
      <c r="AD7" s="215">
        <f t="shared" si="0"/>
        <v>0</v>
      </c>
      <c r="AE7" s="215">
        <f>SUM(AE8)</f>
        <v>271797</v>
      </c>
      <c r="AF7" s="215">
        <f t="shared" si="0"/>
        <v>297577</v>
      </c>
      <c r="AG7" s="215">
        <f>SUM(AG8)</f>
        <v>569374</v>
      </c>
    </row>
    <row r="8" spans="1:33" s="122" customFormat="1" ht="28.5" customHeight="1">
      <c r="A8" s="144"/>
      <c r="B8" s="143" t="s">
        <v>227</v>
      </c>
      <c r="C8" s="213"/>
      <c r="D8" s="145" t="s">
        <v>6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181">
        <f t="shared" si="0"/>
        <v>0</v>
      </c>
      <c r="P8" s="181">
        <f t="shared" si="0"/>
        <v>271797</v>
      </c>
      <c r="Q8" s="181">
        <f t="shared" si="0"/>
        <v>271797</v>
      </c>
      <c r="R8" s="181">
        <f t="shared" si="0"/>
        <v>0</v>
      </c>
      <c r="S8" s="181">
        <f t="shared" si="0"/>
        <v>271797</v>
      </c>
      <c r="T8" s="181">
        <f t="shared" si="0"/>
        <v>0</v>
      </c>
      <c r="U8" s="181">
        <f t="shared" si="0"/>
        <v>271797</v>
      </c>
      <c r="V8" s="181">
        <f t="shared" si="0"/>
        <v>0</v>
      </c>
      <c r="W8" s="181">
        <f t="shared" si="0"/>
        <v>271797</v>
      </c>
      <c r="X8" s="181">
        <f t="shared" si="0"/>
        <v>0</v>
      </c>
      <c r="Y8" s="181">
        <f t="shared" si="0"/>
        <v>271797</v>
      </c>
      <c r="Z8" s="181">
        <f t="shared" si="0"/>
        <v>0</v>
      </c>
      <c r="AA8" s="181">
        <f t="shared" si="0"/>
        <v>271797</v>
      </c>
      <c r="AB8" s="181">
        <f t="shared" si="0"/>
        <v>0</v>
      </c>
      <c r="AC8" s="181">
        <f t="shared" si="0"/>
        <v>271797</v>
      </c>
      <c r="AD8" s="181">
        <f>SUM(AD9)</f>
        <v>0</v>
      </c>
      <c r="AE8" s="181">
        <f>SUM(AE9)</f>
        <v>271797</v>
      </c>
      <c r="AF8" s="181">
        <f>SUM(AF9)</f>
        <v>297577</v>
      </c>
      <c r="AG8" s="181">
        <f>SUM(AG9)</f>
        <v>569374</v>
      </c>
    </row>
    <row r="9" spans="1:33" s="122" customFormat="1" ht="56.25">
      <c r="A9" s="144"/>
      <c r="B9" s="144"/>
      <c r="C9" s="213">
        <v>2010</v>
      </c>
      <c r="D9" s="37" t="s">
        <v>210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181">
        <v>0</v>
      </c>
      <c r="P9" s="181">
        <v>271797</v>
      </c>
      <c r="Q9" s="181">
        <f>SUM(O9:P9)</f>
        <v>271797</v>
      </c>
      <c r="R9" s="181"/>
      <c r="S9" s="181">
        <f>SUM(Q9:R9)</f>
        <v>271797</v>
      </c>
      <c r="T9" s="181"/>
      <c r="U9" s="181">
        <f>SUM(S9:T9)</f>
        <v>271797</v>
      </c>
      <c r="V9" s="181"/>
      <c r="W9" s="181">
        <f>SUM(U9:V9)</f>
        <v>271797</v>
      </c>
      <c r="X9" s="181"/>
      <c r="Y9" s="181">
        <f>SUM(W9:X9)</f>
        <v>271797</v>
      </c>
      <c r="Z9" s="181"/>
      <c r="AA9" s="181">
        <f>SUM(Y9:Z9)</f>
        <v>271797</v>
      </c>
      <c r="AB9" s="181"/>
      <c r="AC9" s="181">
        <f>SUM(AA9:AB9)</f>
        <v>271797</v>
      </c>
      <c r="AD9" s="181"/>
      <c r="AE9" s="181">
        <f>SUM(AC9:AD9)</f>
        <v>271797</v>
      </c>
      <c r="AF9" s="181">
        <v>297577</v>
      </c>
      <c r="AG9" s="181">
        <f>SUM(AE9:AF9)</f>
        <v>569374</v>
      </c>
    </row>
    <row r="10" spans="1:33" s="6" customFormat="1" ht="24.75" customHeight="1">
      <c r="A10" s="32" t="s">
        <v>15</v>
      </c>
      <c r="B10" s="26"/>
      <c r="C10" s="52"/>
      <c r="D10" s="35" t="s">
        <v>16</v>
      </c>
      <c r="E10" s="60">
        <f aca="true" t="shared" si="1" ref="E10:V10">SUM(E11)</f>
        <v>156600</v>
      </c>
      <c r="F10" s="60">
        <f t="shared" si="1"/>
        <v>0</v>
      </c>
      <c r="G10" s="60">
        <f t="shared" si="1"/>
        <v>156600</v>
      </c>
      <c r="H10" s="60">
        <f t="shared" si="1"/>
        <v>0</v>
      </c>
      <c r="I10" s="60">
        <f t="shared" si="1"/>
        <v>156600</v>
      </c>
      <c r="J10" s="60">
        <f t="shared" si="1"/>
        <v>0</v>
      </c>
      <c r="K10" s="60">
        <f t="shared" si="1"/>
        <v>156600</v>
      </c>
      <c r="L10" s="60">
        <f t="shared" si="1"/>
        <v>0</v>
      </c>
      <c r="M10" s="60">
        <f t="shared" si="1"/>
        <v>156600</v>
      </c>
      <c r="N10" s="60">
        <f t="shared" si="1"/>
        <v>0</v>
      </c>
      <c r="O10" s="60">
        <f t="shared" si="1"/>
        <v>156600</v>
      </c>
      <c r="P10" s="60">
        <f t="shared" si="1"/>
        <v>0</v>
      </c>
      <c r="Q10" s="60">
        <f t="shared" si="1"/>
        <v>156600</v>
      </c>
      <c r="R10" s="60">
        <f t="shared" si="1"/>
        <v>0</v>
      </c>
      <c r="S10" s="60">
        <f t="shared" si="1"/>
        <v>156600</v>
      </c>
      <c r="T10" s="60">
        <f t="shared" si="1"/>
        <v>0</v>
      </c>
      <c r="U10" s="60">
        <f t="shared" si="1"/>
        <v>156600</v>
      </c>
      <c r="V10" s="60">
        <f t="shared" si="1"/>
        <v>0</v>
      </c>
      <c r="W10" s="60">
        <f aca="true" t="shared" si="2" ref="W10:AC10">SUM(W11,W13)</f>
        <v>156600</v>
      </c>
      <c r="X10" s="60">
        <f t="shared" si="2"/>
        <v>14329</v>
      </c>
      <c r="Y10" s="60">
        <f t="shared" si="2"/>
        <v>170929</v>
      </c>
      <c r="Z10" s="60">
        <f t="shared" si="2"/>
        <v>0</v>
      </c>
      <c r="AA10" s="60">
        <f t="shared" si="2"/>
        <v>170929</v>
      </c>
      <c r="AB10" s="60">
        <f t="shared" si="2"/>
        <v>2134</v>
      </c>
      <c r="AC10" s="60">
        <f t="shared" si="2"/>
        <v>173063</v>
      </c>
      <c r="AD10" s="60">
        <f>SUM(AD11,AD13)</f>
        <v>0</v>
      </c>
      <c r="AE10" s="60">
        <f>SUM(AE11,AE13)</f>
        <v>173063</v>
      </c>
      <c r="AF10" s="60">
        <f>SUM(AF11,AF13)</f>
        <v>0</v>
      </c>
      <c r="AG10" s="60">
        <f>SUM(AG11,AG13)</f>
        <v>173063</v>
      </c>
    </row>
    <row r="11" spans="1:33" s="23" customFormat="1" ht="21" customHeight="1">
      <c r="A11" s="64"/>
      <c r="B11" s="64">
        <v>75011</v>
      </c>
      <c r="C11" s="65"/>
      <c r="D11" s="37" t="s">
        <v>17</v>
      </c>
      <c r="E11" s="89">
        <f aca="true" t="shared" si="3" ref="E11:AG11">E12</f>
        <v>156600</v>
      </c>
      <c r="F11" s="89">
        <f t="shared" si="3"/>
        <v>0</v>
      </c>
      <c r="G11" s="89">
        <f t="shared" si="3"/>
        <v>156600</v>
      </c>
      <c r="H11" s="89">
        <f t="shared" si="3"/>
        <v>0</v>
      </c>
      <c r="I11" s="89">
        <f t="shared" si="3"/>
        <v>156600</v>
      </c>
      <c r="J11" s="89">
        <f t="shared" si="3"/>
        <v>0</v>
      </c>
      <c r="K11" s="89">
        <f t="shared" si="3"/>
        <v>156600</v>
      </c>
      <c r="L11" s="89">
        <f t="shared" si="3"/>
        <v>0</v>
      </c>
      <c r="M11" s="89">
        <f t="shared" si="3"/>
        <v>156600</v>
      </c>
      <c r="N11" s="89">
        <f t="shared" si="3"/>
        <v>0</v>
      </c>
      <c r="O11" s="89">
        <f t="shared" si="3"/>
        <v>156600</v>
      </c>
      <c r="P11" s="89">
        <f t="shared" si="3"/>
        <v>0</v>
      </c>
      <c r="Q11" s="89">
        <f t="shared" si="3"/>
        <v>156600</v>
      </c>
      <c r="R11" s="89">
        <f t="shared" si="3"/>
        <v>0</v>
      </c>
      <c r="S11" s="89">
        <f t="shared" si="3"/>
        <v>156600</v>
      </c>
      <c r="T11" s="89">
        <f t="shared" si="3"/>
        <v>0</v>
      </c>
      <c r="U11" s="89">
        <f t="shared" si="3"/>
        <v>156600</v>
      </c>
      <c r="V11" s="89">
        <f t="shared" si="3"/>
        <v>0</v>
      </c>
      <c r="W11" s="89">
        <f t="shared" si="3"/>
        <v>156600</v>
      </c>
      <c r="X11" s="89">
        <f t="shared" si="3"/>
        <v>0</v>
      </c>
      <c r="Y11" s="89">
        <f t="shared" si="3"/>
        <v>156600</v>
      </c>
      <c r="Z11" s="89">
        <f t="shared" si="3"/>
        <v>0</v>
      </c>
      <c r="AA11" s="89">
        <f t="shared" si="3"/>
        <v>156600</v>
      </c>
      <c r="AB11" s="89">
        <f t="shared" si="3"/>
        <v>0</v>
      </c>
      <c r="AC11" s="89">
        <f t="shared" si="3"/>
        <v>156600</v>
      </c>
      <c r="AD11" s="89">
        <f t="shared" si="3"/>
        <v>0</v>
      </c>
      <c r="AE11" s="89">
        <f t="shared" si="3"/>
        <v>156600</v>
      </c>
      <c r="AF11" s="89">
        <f t="shared" si="3"/>
        <v>0</v>
      </c>
      <c r="AG11" s="89">
        <f t="shared" si="3"/>
        <v>156600</v>
      </c>
    </row>
    <row r="12" spans="1:33" s="23" customFormat="1" ht="61.5" customHeight="1">
      <c r="A12" s="64"/>
      <c r="B12" s="83"/>
      <c r="C12" s="66" t="s">
        <v>177</v>
      </c>
      <c r="D12" s="37" t="s">
        <v>210</v>
      </c>
      <c r="E12" s="89">
        <v>156600</v>
      </c>
      <c r="F12" s="89"/>
      <c r="G12" s="89">
        <f>SUM(E12:F12)</f>
        <v>156600</v>
      </c>
      <c r="H12" s="89"/>
      <c r="I12" s="89">
        <f>SUM(G12:H12)</f>
        <v>156600</v>
      </c>
      <c r="J12" s="89"/>
      <c r="K12" s="89">
        <f>SUM(I12:J12)</f>
        <v>156600</v>
      </c>
      <c r="L12" s="89"/>
      <c r="M12" s="89">
        <f>SUM(K12:L12)</f>
        <v>156600</v>
      </c>
      <c r="N12" s="89"/>
      <c r="O12" s="89">
        <f>SUM(M12:N12)</f>
        <v>156600</v>
      </c>
      <c r="P12" s="89"/>
      <c r="Q12" s="89">
        <f>SUM(O12:P12)</f>
        <v>156600</v>
      </c>
      <c r="R12" s="89"/>
      <c r="S12" s="89">
        <f>SUM(Q12:R12)</f>
        <v>156600</v>
      </c>
      <c r="T12" s="89"/>
      <c r="U12" s="89">
        <f>SUM(S12:T12)</f>
        <v>156600</v>
      </c>
      <c r="V12" s="89"/>
      <c r="W12" s="89">
        <f>SUM(U12:V12)</f>
        <v>156600</v>
      </c>
      <c r="X12" s="89"/>
      <c r="Y12" s="89">
        <f>SUM(W12:X12)</f>
        <v>156600</v>
      </c>
      <c r="Z12" s="89"/>
      <c r="AA12" s="89">
        <f>SUM(Y12:Z12)</f>
        <v>156600</v>
      </c>
      <c r="AB12" s="89"/>
      <c r="AC12" s="89">
        <f>SUM(AA12:AB12)</f>
        <v>156600</v>
      </c>
      <c r="AD12" s="89"/>
      <c r="AE12" s="89">
        <f>SUM(AC12:AD12)</f>
        <v>156600</v>
      </c>
      <c r="AF12" s="89"/>
      <c r="AG12" s="89">
        <f>SUM(AE12:AF12)</f>
        <v>156600</v>
      </c>
    </row>
    <row r="13" spans="1:33" s="23" customFormat="1" ht="24.75" customHeight="1">
      <c r="A13" s="64"/>
      <c r="B13" s="83">
        <v>75056</v>
      </c>
      <c r="C13" s="66"/>
      <c r="D13" s="37" t="s">
        <v>419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>
        <f aca="true" t="shared" si="4" ref="W13:AG13">SUM(W14)</f>
        <v>0</v>
      </c>
      <c r="X13" s="89">
        <f t="shared" si="4"/>
        <v>14329</v>
      </c>
      <c r="Y13" s="89">
        <f t="shared" si="4"/>
        <v>14329</v>
      </c>
      <c r="Z13" s="89">
        <f t="shared" si="4"/>
        <v>0</v>
      </c>
      <c r="AA13" s="89">
        <f t="shared" si="4"/>
        <v>14329</v>
      </c>
      <c r="AB13" s="89">
        <f t="shared" si="4"/>
        <v>2134</v>
      </c>
      <c r="AC13" s="89">
        <f t="shared" si="4"/>
        <v>16463</v>
      </c>
      <c r="AD13" s="89">
        <f t="shared" si="4"/>
        <v>0</v>
      </c>
      <c r="AE13" s="89">
        <f t="shared" si="4"/>
        <v>16463</v>
      </c>
      <c r="AF13" s="89">
        <f t="shared" si="4"/>
        <v>0</v>
      </c>
      <c r="AG13" s="89">
        <f t="shared" si="4"/>
        <v>16463</v>
      </c>
    </row>
    <row r="14" spans="1:33" s="23" customFormat="1" ht="61.5" customHeight="1">
      <c r="A14" s="64"/>
      <c r="B14" s="83"/>
      <c r="C14" s="66">
        <v>2010</v>
      </c>
      <c r="D14" s="37" t="s">
        <v>210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>
        <v>0</v>
      </c>
      <c r="X14" s="89">
        <v>14329</v>
      </c>
      <c r="Y14" s="89">
        <f>SUM(W14:X14)</f>
        <v>14329</v>
      </c>
      <c r="Z14" s="89"/>
      <c r="AA14" s="89">
        <f>SUM(Y14:Z14)</f>
        <v>14329</v>
      </c>
      <c r="AB14" s="89">
        <v>2134</v>
      </c>
      <c r="AC14" s="89">
        <f>SUM(AA14:AB14)</f>
        <v>16463</v>
      </c>
      <c r="AD14" s="89"/>
      <c r="AE14" s="89">
        <f>SUM(AC14:AD14)</f>
        <v>16463</v>
      </c>
      <c r="AF14" s="89"/>
      <c r="AG14" s="89">
        <f>SUM(AE14:AF14)</f>
        <v>16463</v>
      </c>
    </row>
    <row r="15" spans="1:33" s="6" customFormat="1" ht="40.5" customHeight="1">
      <c r="A15" s="32">
        <v>751</v>
      </c>
      <c r="B15" s="34"/>
      <c r="C15" s="61"/>
      <c r="D15" s="35" t="s">
        <v>20</v>
      </c>
      <c r="E15" s="62">
        <f aca="true" t="shared" si="5" ref="E15:N15">SUM(E16)</f>
        <v>3952</v>
      </c>
      <c r="F15" s="62">
        <f t="shared" si="5"/>
        <v>0</v>
      </c>
      <c r="G15" s="62">
        <f t="shared" si="5"/>
        <v>3952</v>
      </c>
      <c r="H15" s="62">
        <f t="shared" si="5"/>
        <v>0</v>
      </c>
      <c r="I15" s="62">
        <f t="shared" si="5"/>
        <v>3952</v>
      </c>
      <c r="J15" s="62">
        <f t="shared" si="5"/>
        <v>0</v>
      </c>
      <c r="K15" s="62">
        <f t="shared" si="5"/>
        <v>3952</v>
      </c>
      <c r="L15" s="62">
        <f t="shared" si="5"/>
        <v>0</v>
      </c>
      <c r="M15" s="62">
        <f t="shared" si="5"/>
        <v>3952</v>
      </c>
      <c r="N15" s="62">
        <f t="shared" si="5"/>
        <v>0</v>
      </c>
      <c r="O15" s="62">
        <f aca="true" t="shared" si="6" ref="O15:U15">SUM(O16,O18)</f>
        <v>3952</v>
      </c>
      <c r="P15" s="62">
        <f t="shared" si="6"/>
        <v>20663</v>
      </c>
      <c r="Q15" s="62">
        <f t="shared" si="6"/>
        <v>24615</v>
      </c>
      <c r="R15" s="62">
        <f t="shared" si="6"/>
        <v>21375</v>
      </c>
      <c r="S15" s="62">
        <f t="shared" si="6"/>
        <v>45990</v>
      </c>
      <c r="T15" s="62">
        <f t="shared" si="6"/>
        <v>11000</v>
      </c>
      <c r="U15" s="62">
        <f t="shared" si="6"/>
        <v>56990</v>
      </c>
      <c r="V15" s="62">
        <f aca="true" t="shared" si="7" ref="V15:AA15">SUM(V16,V18)</f>
        <v>21375</v>
      </c>
      <c r="W15" s="62">
        <f t="shared" si="7"/>
        <v>78365</v>
      </c>
      <c r="X15" s="62">
        <f t="shared" si="7"/>
        <v>0</v>
      </c>
      <c r="Y15" s="62">
        <f t="shared" si="7"/>
        <v>78365</v>
      </c>
      <c r="Z15" s="62">
        <f t="shared" si="7"/>
        <v>0</v>
      </c>
      <c r="AA15" s="62">
        <f t="shared" si="7"/>
        <v>78365</v>
      </c>
      <c r="AB15" s="62">
        <f>SUM(AB16,AB18)</f>
        <v>0</v>
      </c>
      <c r="AC15" s="62">
        <f>SUM(AC16,AC18,AC20)</f>
        <v>78365</v>
      </c>
      <c r="AD15" s="62">
        <f>SUM(AD16,AD18,AD20)</f>
        <v>85887</v>
      </c>
      <c r="AE15" s="62">
        <f>SUM(AE16,AE18,AE20)</f>
        <v>164252</v>
      </c>
      <c r="AF15" s="62">
        <f>SUM(AF16,AF18,AF20)</f>
        <v>0</v>
      </c>
      <c r="AG15" s="62">
        <f>SUM(AG16,AG18,AG20)</f>
        <v>164252</v>
      </c>
    </row>
    <row r="16" spans="1:33" s="23" customFormat="1" ht="27" customHeight="1">
      <c r="A16" s="83"/>
      <c r="B16" s="64">
        <v>75101</v>
      </c>
      <c r="C16" s="65"/>
      <c r="D16" s="37" t="s">
        <v>21</v>
      </c>
      <c r="E16" s="90">
        <f aca="true" t="shared" si="8" ref="E16:AG16">E17</f>
        <v>3952</v>
      </c>
      <c r="F16" s="90">
        <f t="shared" si="8"/>
        <v>0</v>
      </c>
      <c r="G16" s="90">
        <f t="shared" si="8"/>
        <v>3952</v>
      </c>
      <c r="H16" s="90">
        <f t="shared" si="8"/>
        <v>0</v>
      </c>
      <c r="I16" s="90">
        <f t="shared" si="8"/>
        <v>3952</v>
      </c>
      <c r="J16" s="90">
        <f t="shared" si="8"/>
        <v>0</v>
      </c>
      <c r="K16" s="90">
        <f t="shared" si="8"/>
        <v>3952</v>
      </c>
      <c r="L16" s="90">
        <f t="shared" si="8"/>
        <v>0</v>
      </c>
      <c r="M16" s="90">
        <f t="shared" si="8"/>
        <v>3952</v>
      </c>
      <c r="N16" s="90">
        <f t="shared" si="8"/>
        <v>0</v>
      </c>
      <c r="O16" s="90">
        <f t="shared" si="8"/>
        <v>3952</v>
      </c>
      <c r="P16" s="90">
        <f t="shared" si="8"/>
        <v>0</v>
      </c>
      <c r="Q16" s="90">
        <f t="shared" si="8"/>
        <v>3952</v>
      </c>
      <c r="R16" s="90">
        <f t="shared" si="8"/>
        <v>0</v>
      </c>
      <c r="S16" s="90">
        <f t="shared" si="8"/>
        <v>3952</v>
      </c>
      <c r="T16" s="90">
        <f t="shared" si="8"/>
        <v>0</v>
      </c>
      <c r="U16" s="90">
        <f t="shared" si="8"/>
        <v>3952</v>
      </c>
      <c r="V16" s="90">
        <f t="shared" si="8"/>
        <v>0</v>
      </c>
      <c r="W16" s="90">
        <f t="shared" si="8"/>
        <v>3952</v>
      </c>
      <c r="X16" s="90">
        <f t="shared" si="8"/>
        <v>0</v>
      </c>
      <c r="Y16" s="90">
        <f t="shared" si="8"/>
        <v>3952</v>
      </c>
      <c r="Z16" s="90">
        <f t="shared" si="8"/>
        <v>0</v>
      </c>
      <c r="AA16" s="90">
        <f t="shared" si="8"/>
        <v>3952</v>
      </c>
      <c r="AB16" s="90">
        <f t="shared" si="8"/>
        <v>0</v>
      </c>
      <c r="AC16" s="90">
        <f t="shared" si="8"/>
        <v>3952</v>
      </c>
      <c r="AD16" s="90">
        <f t="shared" si="8"/>
        <v>0</v>
      </c>
      <c r="AE16" s="90">
        <f t="shared" si="8"/>
        <v>3952</v>
      </c>
      <c r="AF16" s="90">
        <f t="shared" si="8"/>
        <v>0</v>
      </c>
      <c r="AG16" s="90">
        <f t="shared" si="8"/>
        <v>3952</v>
      </c>
    </row>
    <row r="17" spans="1:33" s="23" customFormat="1" ht="64.5" customHeight="1">
      <c r="A17" s="83"/>
      <c r="B17" s="64"/>
      <c r="C17" s="66" t="s">
        <v>177</v>
      </c>
      <c r="D17" s="37" t="s">
        <v>215</v>
      </c>
      <c r="E17" s="90">
        <v>3952</v>
      </c>
      <c r="F17" s="90"/>
      <c r="G17" s="90">
        <f>SUM(E17:F17)</f>
        <v>3952</v>
      </c>
      <c r="H17" s="90"/>
      <c r="I17" s="90">
        <f>SUM(G17:H17)</f>
        <v>3952</v>
      </c>
      <c r="J17" s="90"/>
      <c r="K17" s="90">
        <f>SUM(I17:J17)</f>
        <v>3952</v>
      </c>
      <c r="L17" s="90"/>
      <c r="M17" s="90">
        <f>SUM(K17:L17)</f>
        <v>3952</v>
      </c>
      <c r="N17" s="90"/>
      <c r="O17" s="90">
        <f>SUM(M17:N17)</f>
        <v>3952</v>
      </c>
      <c r="P17" s="90"/>
      <c r="Q17" s="90">
        <f>SUM(O17:P17)</f>
        <v>3952</v>
      </c>
      <c r="R17" s="90"/>
      <c r="S17" s="90">
        <f>SUM(Q17:R17)</f>
        <v>3952</v>
      </c>
      <c r="T17" s="90"/>
      <c r="U17" s="90">
        <f>SUM(S17:T17)</f>
        <v>3952</v>
      </c>
      <c r="V17" s="90"/>
      <c r="W17" s="90">
        <f>SUM(U17:V17)</f>
        <v>3952</v>
      </c>
      <c r="X17" s="90"/>
      <c r="Y17" s="90">
        <f>SUM(W17:X17)</f>
        <v>3952</v>
      </c>
      <c r="Z17" s="90"/>
      <c r="AA17" s="90">
        <f>SUM(Y17:Z17)</f>
        <v>3952</v>
      </c>
      <c r="AB17" s="90"/>
      <c r="AC17" s="90">
        <f>SUM(AA17:AB17)</f>
        <v>3952</v>
      </c>
      <c r="AD17" s="90"/>
      <c r="AE17" s="90">
        <f>SUM(AC17:AD17)</f>
        <v>3952</v>
      </c>
      <c r="AF17" s="90"/>
      <c r="AG17" s="90">
        <f>SUM(AE17:AF17)</f>
        <v>3952</v>
      </c>
    </row>
    <row r="18" spans="1:33" s="23" customFormat="1" ht="28.5" customHeight="1">
      <c r="A18" s="83"/>
      <c r="B18" s="64">
        <v>75107</v>
      </c>
      <c r="C18" s="64"/>
      <c r="D18" s="37" t="s">
        <v>392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>
        <f aca="true" t="shared" si="9" ref="O18:AG18">SUM(O19)</f>
        <v>0</v>
      </c>
      <c r="P18" s="90">
        <f t="shared" si="9"/>
        <v>20663</v>
      </c>
      <c r="Q18" s="90">
        <f t="shared" si="9"/>
        <v>20663</v>
      </c>
      <c r="R18" s="90">
        <f t="shared" si="9"/>
        <v>21375</v>
      </c>
      <c r="S18" s="90">
        <f t="shared" si="9"/>
        <v>42038</v>
      </c>
      <c r="T18" s="90">
        <f t="shared" si="9"/>
        <v>11000</v>
      </c>
      <c r="U18" s="90">
        <f t="shared" si="9"/>
        <v>53038</v>
      </c>
      <c r="V18" s="90">
        <f t="shared" si="9"/>
        <v>21375</v>
      </c>
      <c r="W18" s="90">
        <f t="shared" si="9"/>
        <v>74413</v>
      </c>
      <c r="X18" s="90">
        <f t="shared" si="9"/>
        <v>0</v>
      </c>
      <c r="Y18" s="90">
        <f t="shared" si="9"/>
        <v>74413</v>
      </c>
      <c r="Z18" s="90">
        <f t="shared" si="9"/>
        <v>0</v>
      </c>
      <c r="AA18" s="90">
        <f t="shared" si="9"/>
        <v>74413</v>
      </c>
      <c r="AB18" s="90">
        <f t="shared" si="9"/>
        <v>0</v>
      </c>
      <c r="AC18" s="90">
        <f t="shared" si="9"/>
        <v>74413</v>
      </c>
      <c r="AD18" s="90">
        <f t="shared" si="9"/>
        <v>0</v>
      </c>
      <c r="AE18" s="90">
        <f t="shared" si="9"/>
        <v>74413</v>
      </c>
      <c r="AF18" s="90">
        <f t="shared" si="9"/>
        <v>0</v>
      </c>
      <c r="AG18" s="90">
        <f t="shared" si="9"/>
        <v>74413</v>
      </c>
    </row>
    <row r="19" spans="1:33" s="23" customFormat="1" ht="64.5" customHeight="1">
      <c r="A19" s="83"/>
      <c r="B19" s="64"/>
      <c r="C19" s="64" t="s">
        <v>177</v>
      </c>
      <c r="D19" s="37" t="s">
        <v>215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>
        <v>0</v>
      </c>
      <c r="P19" s="90">
        <v>20663</v>
      </c>
      <c r="Q19" s="90">
        <f>SUM(O19:P19)</f>
        <v>20663</v>
      </c>
      <c r="R19" s="90">
        <v>21375</v>
      </c>
      <c r="S19" s="90">
        <f>SUM(Q19:R19)</f>
        <v>42038</v>
      </c>
      <c r="T19" s="90">
        <v>11000</v>
      </c>
      <c r="U19" s="90">
        <f>SUM(S19:T19)</f>
        <v>53038</v>
      </c>
      <c r="V19" s="90">
        <v>21375</v>
      </c>
      <c r="W19" s="90">
        <f>SUM(U19:V19)</f>
        <v>74413</v>
      </c>
      <c r="X19" s="90"/>
      <c r="Y19" s="90">
        <f>SUM(W19:X19)</f>
        <v>74413</v>
      </c>
      <c r="Z19" s="90"/>
      <c r="AA19" s="90">
        <f>SUM(Y19:Z19)</f>
        <v>74413</v>
      </c>
      <c r="AB19" s="90"/>
      <c r="AC19" s="90">
        <f>SUM(AA19:AB19)</f>
        <v>74413</v>
      </c>
      <c r="AD19" s="90"/>
      <c r="AE19" s="90">
        <f>SUM(AC19:AD19)</f>
        <v>74413</v>
      </c>
      <c r="AF19" s="90"/>
      <c r="AG19" s="90">
        <f>SUM(AE19:AF19)</f>
        <v>74413</v>
      </c>
    </row>
    <row r="20" spans="1:33" s="23" customFormat="1" ht="56.25">
      <c r="A20" s="83"/>
      <c r="B20" s="79">
        <v>75109</v>
      </c>
      <c r="C20" s="64"/>
      <c r="D20" s="74" t="s">
        <v>464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>
        <f>SUM(AC21)</f>
        <v>0</v>
      </c>
      <c r="AD20" s="90">
        <f>SUM(AD21)</f>
        <v>85887</v>
      </c>
      <c r="AE20" s="90">
        <f>SUM(AE21)</f>
        <v>85887</v>
      </c>
      <c r="AF20" s="90">
        <f>SUM(AF21)</f>
        <v>0</v>
      </c>
      <c r="AG20" s="90">
        <f>SUM(AG21)</f>
        <v>85887</v>
      </c>
    </row>
    <row r="21" spans="1:33" s="23" customFormat="1" ht="64.5" customHeight="1">
      <c r="A21" s="83"/>
      <c r="B21" s="79"/>
      <c r="C21" s="64" t="s">
        <v>177</v>
      </c>
      <c r="D21" s="37" t="s">
        <v>215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>
        <v>0</v>
      </c>
      <c r="AD21" s="90">
        <v>85887</v>
      </c>
      <c r="AE21" s="90">
        <f>SUM(AC21:AD21)</f>
        <v>85887</v>
      </c>
      <c r="AF21" s="90"/>
      <c r="AG21" s="90">
        <f>SUM(AE21:AF21)</f>
        <v>85887</v>
      </c>
    </row>
    <row r="22" spans="1:33" s="187" customFormat="1" ht="23.25" customHeight="1">
      <c r="A22" s="191" t="s">
        <v>108</v>
      </c>
      <c r="B22" s="192"/>
      <c r="C22" s="193"/>
      <c r="D22" s="194" t="s">
        <v>109</v>
      </c>
      <c r="E22" s="195">
        <f aca="true" t="shared" si="10" ref="E22:X22">SUM(E23,)</f>
        <v>4782</v>
      </c>
      <c r="F22" s="195">
        <f t="shared" si="10"/>
        <v>0</v>
      </c>
      <c r="G22" s="195">
        <f t="shared" si="10"/>
        <v>4782</v>
      </c>
      <c r="H22" s="195">
        <f t="shared" si="10"/>
        <v>0</v>
      </c>
      <c r="I22" s="195">
        <f t="shared" si="10"/>
        <v>4782</v>
      </c>
      <c r="J22" s="195">
        <f t="shared" si="10"/>
        <v>2904</v>
      </c>
      <c r="K22" s="195">
        <f t="shared" si="10"/>
        <v>7686</v>
      </c>
      <c r="L22" s="195">
        <f t="shared" si="10"/>
        <v>0</v>
      </c>
      <c r="M22" s="195">
        <f t="shared" si="10"/>
        <v>7686</v>
      </c>
      <c r="N22" s="195">
        <f t="shared" si="10"/>
        <v>75816</v>
      </c>
      <c r="O22" s="195">
        <f t="shared" si="10"/>
        <v>83502</v>
      </c>
      <c r="P22" s="195">
        <f t="shared" si="10"/>
        <v>0</v>
      </c>
      <c r="Q22" s="195">
        <f t="shared" si="10"/>
        <v>83502</v>
      </c>
      <c r="R22" s="195">
        <f t="shared" si="10"/>
        <v>0</v>
      </c>
      <c r="S22" s="195">
        <f t="shared" si="10"/>
        <v>83502</v>
      </c>
      <c r="T22" s="195">
        <f t="shared" si="10"/>
        <v>0</v>
      </c>
      <c r="U22" s="195">
        <f t="shared" si="10"/>
        <v>83502</v>
      </c>
      <c r="V22" s="195">
        <f t="shared" si="10"/>
        <v>0</v>
      </c>
      <c r="W22" s="195">
        <f t="shared" si="10"/>
        <v>83502</v>
      </c>
      <c r="X22" s="195">
        <f t="shared" si="10"/>
        <v>0</v>
      </c>
      <c r="Y22" s="195">
        <f>SUM(Y23,Y28)</f>
        <v>83502</v>
      </c>
      <c r="Z22" s="195">
        <f>SUM(Z23,Z28)</f>
        <v>76630</v>
      </c>
      <c r="AA22" s="195">
        <f>SUM(AA23,AA28)</f>
        <v>160132</v>
      </c>
      <c r="AB22" s="195">
        <f>SUM(AB23,AB28)</f>
        <v>0</v>
      </c>
      <c r="AC22" s="195">
        <f>SUM(AC23,AC28,AC30)</f>
        <v>160132</v>
      </c>
      <c r="AD22" s="195">
        <f>SUM(AD23,AD28,AD30)</f>
        <v>936</v>
      </c>
      <c r="AE22" s="195">
        <f>SUM(AE23,AE28,AE30)</f>
        <v>161068</v>
      </c>
      <c r="AF22" s="195">
        <f>SUM(AF23,AF28,AF30)</f>
        <v>0</v>
      </c>
      <c r="AG22" s="195">
        <f>SUM(AG23,AG28,AG30)</f>
        <v>161068</v>
      </c>
    </row>
    <row r="23" spans="1:33" s="163" customFormat="1" ht="23.25" customHeight="1">
      <c r="A23" s="64"/>
      <c r="B23" s="79" t="s">
        <v>110</v>
      </c>
      <c r="C23" s="83"/>
      <c r="D23" s="37" t="s">
        <v>50</v>
      </c>
      <c r="E23" s="89">
        <f aca="true" t="shared" si="11" ref="E23:L23">SUM(E26)</f>
        <v>4782</v>
      </c>
      <c r="F23" s="89">
        <f t="shared" si="11"/>
        <v>0</v>
      </c>
      <c r="G23" s="89">
        <f t="shared" si="11"/>
        <v>4782</v>
      </c>
      <c r="H23" s="89">
        <f t="shared" si="11"/>
        <v>0</v>
      </c>
      <c r="I23" s="89">
        <f t="shared" si="11"/>
        <v>4782</v>
      </c>
      <c r="J23" s="89">
        <f t="shared" si="11"/>
        <v>2904</v>
      </c>
      <c r="K23" s="89">
        <f t="shared" si="11"/>
        <v>7686</v>
      </c>
      <c r="L23" s="89">
        <f t="shared" si="11"/>
        <v>0</v>
      </c>
      <c r="M23" s="89">
        <f aca="true" t="shared" si="12" ref="M23:S23">SUM(M25:M27)</f>
        <v>7686</v>
      </c>
      <c r="N23" s="89">
        <f t="shared" si="12"/>
        <v>75816</v>
      </c>
      <c r="O23" s="89">
        <f t="shared" si="12"/>
        <v>83502</v>
      </c>
      <c r="P23" s="89">
        <f t="shared" si="12"/>
        <v>0</v>
      </c>
      <c r="Q23" s="89">
        <f t="shared" si="12"/>
        <v>83502</v>
      </c>
      <c r="R23" s="89">
        <f t="shared" si="12"/>
        <v>0</v>
      </c>
      <c r="S23" s="89">
        <f t="shared" si="12"/>
        <v>83502</v>
      </c>
      <c r="T23" s="89">
        <f>SUM(T25:T27)</f>
        <v>0</v>
      </c>
      <c r="U23" s="89">
        <f>SUM(U25:U27)</f>
        <v>83502</v>
      </c>
      <c r="V23" s="89">
        <f>SUM(V25:V27)</f>
        <v>0</v>
      </c>
      <c r="W23" s="89">
        <f>SUM(W25:W27)</f>
        <v>83502</v>
      </c>
      <c r="X23" s="89">
        <f>SUM(X25:X27)</f>
        <v>0</v>
      </c>
      <c r="Y23" s="89">
        <f aca="true" t="shared" si="13" ref="Y23:AE23">SUM(Y24:Y27)</f>
        <v>83502</v>
      </c>
      <c r="Z23" s="89">
        <f t="shared" si="13"/>
        <v>39330</v>
      </c>
      <c r="AA23" s="89">
        <f t="shared" si="13"/>
        <v>122832</v>
      </c>
      <c r="AB23" s="89">
        <f t="shared" si="13"/>
        <v>0</v>
      </c>
      <c r="AC23" s="89">
        <f t="shared" si="13"/>
        <v>122832</v>
      </c>
      <c r="AD23" s="89">
        <f t="shared" si="13"/>
        <v>0</v>
      </c>
      <c r="AE23" s="89">
        <f t="shared" si="13"/>
        <v>122832</v>
      </c>
      <c r="AF23" s="89">
        <f>SUM(AF24:AF27)</f>
        <v>0</v>
      </c>
      <c r="AG23" s="89">
        <f>SUM(AG24:AG27)</f>
        <v>122832</v>
      </c>
    </row>
    <row r="24" spans="1:33" s="163" customFormat="1" ht="63.75" customHeight="1">
      <c r="A24" s="64"/>
      <c r="B24" s="79"/>
      <c r="C24" s="83">
        <v>2010</v>
      </c>
      <c r="D24" s="37" t="s">
        <v>215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>
        <v>0</v>
      </c>
      <c r="Z24" s="89">
        <v>39330</v>
      </c>
      <c r="AA24" s="68">
        <f>SUM(Y24:Z24)</f>
        <v>39330</v>
      </c>
      <c r="AB24" s="89"/>
      <c r="AC24" s="68">
        <f>SUM(AA24:AB24)</f>
        <v>39330</v>
      </c>
      <c r="AD24" s="89"/>
      <c r="AE24" s="68">
        <f>SUM(AC24:AD24)</f>
        <v>39330</v>
      </c>
      <c r="AF24" s="89"/>
      <c r="AG24" s="68">
        <f>SUM(AE24:AF24)</f>
        <v>39330</v>
      </c>
    </row>
    <row r="25" spans="1:33" s="163" customFormat="1" ht="33.75">
      <c r="A25" s="64"/>
      <c r="B25" s="64"/>
      <c r="C25" s="83">
        <v>2030</v>
      </c>
      <c r="D25" s="74" t="s">
        <v>211</v>
      </c>
      <c r="E25" s="89"/>
      <c r="F25" s="89"/>
      <c r="G25" s="89"/>
      <c r="H25" s="89"/>
      <c r="I25" s="89"/>
      <c r="J25" s="89"/>
      <c r="K25" s="89"/>
      <c r="L25" s="89"/>
      <c r="M25" s="89">
        <v>0</v>
      </c>
      <c r="N25" s="89">
        <v>11966</v>
      </c>
      <c r="O25" s="68">
        <f>SUM(M25:N25)</f>
        <v>11966</v>
      </c>
      <c r="P25" s="89"/>
      <c r="Q25" s="68">
        <f>SUM(O25:P25)</f>
        <v>11966</v>
      </c>
      <c r="R25" s="89"/>
      <c r="S25" s="68">
        <f>SUM(Q25:R25)</f>
        <v>11966</v>
      </c>
      <c r="T25" s="89"/>
      <c r="U25" s="68">
        <f>SUM(S25:T25)</f>
        <v>11966</v>
      </c>
      <c r="V25" s="89"/>
      <c r="W25" s="68">
        <f>SUM(U25:V25)</f>
        <v>11966</v>
      </c>
      <c r="X25" s="89"/>
      <c r="Y25" s="68">
        <f>SUM(W25:X25)</f>
        <v>11966</v>
      </c>
      <c r="Z25" s="89"/>
      <c r="AA25" s="68">
        <f>SUM(Y25:Z25)</f>
        <v>11966</v>
      </c>
      <c r="AB25" s="89"/>
      <c r="AC25" s="68">
        <f>SUM(AA25:AB25)</f>
        <v>11966</v>
      </c>
      <c r="AD25" s="89"/>
      <c r="AE25" s="68">
        <f>SUM(AC25:AD25)</f>
        <v>11966</v>
      </c>
      <c r="AF25" s="89"/>
      <c r="AG25" s="68">
        <f>SUM(AE25:AF25)</f>
        <v>11966</v>
      </c>
    </row>
    <row r="26" spans="1:33" s="163" customFormat="1" ht="52.5" customHeight="1">
      <c r="A26" s="83"/>
      <c r="B26" s="64"/>
      <c r="C26" s="114">
        <v>2310</v>
      </c>
      <c r="D26" s="37" t="s">
        <v>225</v>
      </c>
      <c r="E26" s="68">
        <v>4782</v>
      </c>
      <c r="F26" s="68"/>
      <c r="G26" s="68">
        <f>SUM(E26:F26)</f>
        <v>4782</v>
      </c>
      <c r="H26" s="68"/>
      <c r="I26" s="68">
        <f>SUM(G26:H26)</f>
        <v>4782</v>
      </c>
      <c r="J26" s="68">
        <v>2904</v>
      </c>
      <c r="K26" s="68">
        <f>SUM(I26:J26)</f>
        <v>7686</v>
      </c>
      <c r="L26" s="68"/>
      <c r="M26" s="68">
        <f>SUM(K26:L26)</f>
        <v>7686</v>
      </c>
      <c r="N26" s="68"/>
      <c r="O26" s="68">
        <f>SUM(M26:N26)</f>
        <v>7686</v>
      </c>
      <c r="P26" s="68"/>
      <c r="Q26" s="68">
        <f>SUM(O26:P26)</f>
        <v>7686</v>
      </c>
      <c r="R26" s="68"/>
      <c r="S26" s="68">
        <f>SUM(Q26:R26)</f>
        <v>7686</v>
      </c>
      <c r="T26" s="68"/>
      <c r="U26" s="68">
        <f>SUM(S26:T26)</f>
        <v>7686</v>
      </c>
      <c r="V26" s="68"/>
      <c r="W26" s="68">
        <f>SUM(U26:V26)</f>
        <v>7686</v>
      </c>
      <c r="X26" s="68"/>
      <c r="Y26" s="68">
        <f>SUM(W26:X26)</f>
        <v>7686</v>
      </c>
      <c r="Z26" s="68"/>
      <c r="AA26" s="68">
        <f>SUM(Y26:Z26)</f>
        <v>7686</v>
      </c>
      <c r="AB26" s="68"/>
      <c r="AC26" s="68">
        <f>SUM(AA26:AB26)</f>
        <v>7686</v>
      </c>
      <c r="AD26" s="68"/>
      <c r="AE26" s="68">
        <f>SUM(AC26:AD26)</f>
        <v>7686</v>
      </c>
      <c r="AF26" s="68"/>
      <c r="AG26" s="68">
        <f>SUM(AE26:AF26)</f>
        <v>7686</v>
      </c>
    </row>
    <row r="27" spans="1:33" s="163" customFormat="1" ht="48" customHeight="1">
      <c r="A27" s="83"/>
      <c r="B27" s="64"/>
      <c r="C27" s="114">
        <v>6330</v>
      </c>
      <c r="D27" s="37" t="s">
        <v>376</v>
      </c>
      <c r="E27" s="68"/>
      <c r="F27" s="68"/>
      <c r="G27" s="68"/>
      <c r="H27" s="68"/>
      <c r="I27" s="68"/>
      <c r="J27" s="68"/>
      <c r="K27" s="68"/>
      <c r="L27" s="68"/>
      <c r="M27" s="68">
        <v>0</v>
      </c>
      <c r="N27" s="68">
        <v>63850</v>
      </c>
      <c r="O27" s="68">
        <f>SUM(M27:N27)</f>
        <v>63850</v>
      </c>
      <c r="P27" s="68"/>
      <c r="Q27" s="68">
        <f>SUM(O27:P27)</f>
        <v>63850</v>
      </c>
      <c r="R27" s="68"/>
      <c r="S27" s="68">
        <f>SUM(Q27:R27)</f>
        <v>63850</v>
      </c>
      <c r="T27" s="68"/>
      <c r="U27" s="68">
        <f>SUM(S27:T27)</f>
        <v>63850</v>
      </c>
      <c r="V27" s="68"/>
      <c r="W27" s="68">
        <f>SUM(U27:V27)</f>
        <v>63850</v>
      </c>
      <c r="X27" s="68"/>
      <c r="Y27" s="68">
        <f>SUM(W27:X27)</f>
        <v>63850</v>
      </c>
      <c r="Z27" s="68"/>
      <c r="AA27" s="68">
        <f>SUM(Y27:Z27)</f>
        <v>63850</v>
      </c>
      <c r="AB27" s="68"/>
      <c r="AC27" s="68">
        <f>SUM(AA27:AB27)</f>
        <v>63850</v>
      </c>
      <c r="AD27" s="68"/>
      <c r="AE27" s="68">
        <f>SUM(AC27:AD27)</f>
        <v>63850</v>
      </c>
      <c r="AF27" s="68"/>
      <c r="AG27" s="68">
        <f>SUM(AE27:AF27)</f>
        <v>63850</v>
      </c>
    </row>
    <row r="28" spans="1:33" s="163" customFormat="1" ht="20.25" customHeight="1">
      <c r="A28" s="83"/>
      <c r="B28" s="64">
        <v>80110</v>
      </c>
      <c r="C28" s="114"/>
      <c r="D28" s="37" t="s">
        <v>51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>
        <f aca="true" t="shared" si="14" ref="Y28:AG28">SUM(Y29)</f>
        <v>0</v>
      </c>
      <c r="Z28" s="68">
        <f t="shared" si="14"/>
        <v>37300</v>
      </c>
      <c r="AA28" s="68">
        <f t="shared" si="14"/>
        <v>37300</v>
      </c>
      <c r="AB28" s="68">
        <f t="shared" si="14"/>
        <v>0</v>
      </c>
      <c r="AC28" s="68">
        <f t="shared" si="14"/>
        <v>37300</v>
      </c>
      <c r="AD28" s="68">
        <f t="shared" si="14"/>
        <v>0</v>
      </c>
      <c r="AE28" s="68">
        <f t="shared" si="14"/>
        <v>37300</v>
      </c>
      <c r="AF28" s="68">
        <f t="shared" si="14"/>
        <v>0</v>
      </c>
      <c r="AG28" s="68">
        <f t="shared" si="14"/>
        <v>37300</v>
      </c>
    </row>
    <row r="29" spans="1:33" s="163" customFormat="1" ht="56.25">
      <c r="A29" s="83"/>
      <c r="B29" s="64"/>
      <c r="C29" s="114">
        <v>2010</v>
      </c>
      <c r="D29" s="37" t="s">
        <v>215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>
        <v>0</v>
      </c>
      <c r="Z29" s="68">
        <v>37300</v>
      </c>
      <c r="AA29" s="68">
        <f>SUM(Y29:Z29)</f>
        <v>37300</v>
      </c>
      <c r="AB29" s="68"/>
      <c r="AC29" s="68">
        <f>SUM(AA29:AB29)</f>
        <v>37300</v>
      </c>
      <c r="AD29" s="68"/>
      <c r="AE29" s="68">
        <f>SUM(AC29:AD29)</f>
        <v>37300</v>
      </c>
      <c r="AF29" s="68"/>
      <c r="AG29" s="68">
        <f>SUM(AE29:AF29)</f>
        <v>37300</v>
      </c>
    </row>
    <row r="30" spans="1:33" s="163" customFormat="1" ht="24.75" customHeight="1">
      <c r="A30" s="83"/>
      <c r="B30" s="64">
        <v>80195</v>
      </c>
      <c r="C30" s="114"/>
      <c r="D30" s="37" t="s">
        <v>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>
        <f>SUM(AC31)</f>
        <v>0</v>
      </c>
      <c r="AD30" s="68">
        <f>SUM(AD31)</f>
        <v>936</v>
      </c>
      <c r="AE30" s="68">
        <f>SUM(AE31)</f>
        <v>936</v>
      </c>
      <c r="AF30" s="68">
        <f>SUM(AF31)</f>
        <v>0</v>
      </c>
      <c r="AG30" s="68">
        <f>SUM(AG31)</f>
        <v>936</v>
      </c>
    </row>
    <row r="31" spans="1:33" s="163" customFormat="1" ht="33.75">
      <c r="A31" s="83"/>
      <c r="B31" s="64"/>
      <c r="C31" s="114">
        <v>2030</v>
      </c>
      <c r="D31" s="74" t="s">
        <v>211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>
        <v>0</v>
      </c>
      <c r="AD31" s="68">
        <v>936</v>
      </c>
      <c r="AE31" s="68">
        <f>SUM(AC31:AD31)</f>
        <v>936</v>
      </c>
      <c r="AF31" s="68"/>
      <c r="AG31" s="68">
        <f>SUM(AE31:AF31)</f>
        <v>936</v>
      </c>
    </row>
    <row r="32" spans="1:33" s="39" customFormat="1" ht="20.25" customHeight="1">
      <c r="A32" s="32" t="s">
        <v>152</v>
      </c>
      <c r="B32" s="34"/>
      <c r="C32" s="61"/>
      <c r="D32" s="35" t="s">
        <v>184</v>
      </c>
      <c r="E32" s="60">
        <f aca="true" t="shared" si="15" ref="E32:K32">SUM(E33,E35,E38,E42,E40,E45)</f>
        <v>7964296</v>
      </c>
      <c r="F32" s="60">
        <f t="shared" si="15"/>
        <v>530000</v>
      </c>
      <c r="G32" s="60">
        <f t="shared" si="15"/>
        <v>8494296</v>
      </c>
      <c r="H32" s="60">
        <f t="shared" si="15"/>
        <v>-73</v>
      </c>
      <c r="I32" s="60">
        <f t="shared" si="15"/>
        <v>8494223</v>
      </c>
      <c r="J32" s="60">
        <f t="shared" si="15"/>
        <v>5500</v>
      </c>
      <c r="K32" s="60">
        <f t="shared" si="15"/>
        <v>8499723</v>
      </c>
      <c r="L32" s="60">
        <f aca="true" t="shared" si="16" ref="L32:Q32">SUM(L33,L35,L38,L42,L40,L45)</f>
        <v>0</v>
      </c>
      <c r="M32" s="60">
        <f t="shared" si="16"/>
        <v>8499723</v>
      </c>
      <c r="N32" s="60">
        <f t="shared" si="16"/>
        <v>82751</v>
      </c>
      <c r="O32" s="60">
        <f t="shared" si="16"/>
        <v>8582474</v>
      </c>
      <c r="P32" s="60">
        <f t="shared" si="16"/>
        <v>0</v>
      </c>
      <c r="Q32" s="60">
        <f t="shared" si="16"/>
        <v>8582474</v>
      </c>
      <c r="R32" s="60">
        <f aca="true" t="shared" si="17" ref="R32:W32">SUM(R33,R35,R38,R42,R40,R45)</f>
        <v>0</v>
      </c>
      <c r="S32" s="60">
        <f t="shared" si="17"/>
        <v>8582474</v>
      </c>
      <c r="T32" s="60">
        <f t="shared" si="17"/>
        <v>0</v>
      </c>
      <c r="U32" s="60">
        <f t="shared" si="17"/>
        <v>8582474</v>
      </c>
      <c r="V32" s="60">
        <f t="shared" si="17"/>
        <v>88119</v>
      </c>
      <c r="W32" s="60">
        <f t="shared" si="17"/>
        <v>8670593</v>
      </c>
      <c r="X32" s="60">
        <f aca="true" t="shared" si="18" ref="X32:AC32">SUM(X33,X35,X38,X42,X40,X45)</f>
        <v>17765</v>
      </c>
      <c r="Y32" s="60">
        <f t="shared" si="18"/>
        <v>8688358</v>
      </c>
      <c r="Z32" s="60">
        <f t="shared" si="18"/>
        <v>458788</v>
      </c>
      <c r="AA32" s="60">
        <f t="shared" si="18"/>
        <v>9147146</v>
      </c>
      <c r="AB32" s="60">
        <f t="shared" si="18"/>
        <v>0</v>
      </c>
      <c r="AC32" s="60">
        <f t="shared" si="18"/>
        <v>9147146</v>
      </c>
      <c r="AD32" s="60">
        <f>SUM(AD33,AD35,AD38,AD42,AD40,AD45)</f>
        <v>117495</v>
      </c>
      <c r="AE32" s="60">
        <f>SUM(AE33,AE35,AE38,AE42,AE40,AE45)</f>
        <v>9264641</v>
      </c>
      <c r="AF32" s="60">
        <f>SUM(AF33,AF35,AF38,AF42,AF40,AF45)</f>
        <v>317204</v>
      </c>
      <c r="AG32" s="60">
        <f>SUM(AG33,AG35,AG38,AG42,AG40,AG45)</f>
        <v>9581845</v>
      </c>
    </row>
    <row r="33" spans="1:33" s="23" customFormat="1" ht="51.75" customHeight="1">
      <c r="A33" s="64"/>
      <c r="B33" s="46">
        <v>85212</v>
      </c>
      <c r="C33" s="76"/>
      <c r="D33" s="74" t="s">
        <v>252</v>
      </c>
      <c r="E33" s="87">
        <f aca="true" t="shared" si="19" ref="E33:AG33">SUM(E34)</f>
        <v>6551300</v>
      </c>
      <c r="F33" s="87">
        <f t="shared" si="19"/>
        <v>0</v>
      </c>
      <c r="G33" s="87">
        <f t="shared" si="19"/>
        <v>6551300</v>
      </c>
      <c r="H33" s="87">
        <f t="shared" si="19"/>
        <v>0</v>
      </c>
      <c r="I33" s="87">
        <f t="shared" si="19"/>
        <v>6551300</v>
      </c>
      <c r="J33" s="87">
        <f t="shared" si="19"/>
        <v>0</v>
      </c>
      <c r="K33" s="87">
        <f t="shared" si="19"/>
        <v>6551300</v>
      </c>
      <c r="L33" s="87">
        <f t="shared" si="19"/>
        <v>0</v>
      </c>
      <c r="M33" s="87">
        <f t="shared" si="19"/>
        <v>6551300</v>
      </c>
      <c r="N33" s="87">
        <f t="shared" si="19"/>
        <v>0</v>
      </c>
      <c r="O33" s="87">
        <f t="shared" si="19"/>
        <v>6551300</v>
      </c>
      <c r="P33" s="87">
        <f t="shared" si="19"/>
        <v>0</v>
      </c>
      <c r="Q33" s="87">
        <f t="shared" si="19"/>
        <v>6551300</v>
      </c>
      <c r="R33" s="87">
        <f t="shared" si="19"/>
        <v>0</v>
      </c>
      <c r="S33" s="87">
        <f t="shared" si="19"/>
        <v>6551300</v>
      </c>
      <c r="T33" s="87">
        <f t="shared" si="19"/>
        <v>0</v>
      </c>
      <c r="U33" s="87">
        <f t="shared" si="19"/>
        <v>6551300</v>
      </c>
      <c r="V33" s="87">
        <f t="shared" si="19"/>
        <v>0</v>
      </c>
      <c r="W33" s="87">
        <f t="shared" si="19"/>
        <v>6551300</v>
      </c>
      <c r="X33" s="87">
        <f t="shared" si="19"/>
        <v>0</v>
      </c>
      <c r="Y33" s="87">
        <f t="shared" si="19"/>
        <v>6551300</v>
      </c>
      <c r="Z33" s="87">
        <f t="shared" si="19"/>
        <v>0</v>
      </c>
      <c r="AA33" s="87">
        <f t="shared" si="19"/>
        <v>6551300</v>
      </c>
      <c r="AB33" s="87">
        <f t="shared" si="19"/>
        <v>0</v>
      </c>
      <c r="AC33" s="87">
        <f t="shared" si="19"/>
        <v>6551300</v>
      </c>
      <c r="AD33" s="87">
        <f t="shared" si="19"/>
        <v>0</v>
      </c>
      <c r="AE33" s="87">
        <f t="shared" si="19"/>
        <v>6551300</v>
      </c>
      <c r="AF33" s="87">
        <f t="shared" si="19"/>
        <v>100000</v>
      </c>
      <c r="AG33" s="87">
        <f t="shared" si="19"/>
        <v>6651300</v>
      </c>
    </row>
    <row r="34" spans="1:33" s="23" customFormat="1" ht="60" customHeight="1">
      <c r="A34" s="64"/>
      <c r="B34" s="46"/>
      <c r="C34" s="76">
        <v>2010</v>
      </c>
      <c r="D34" s="37" t="s">
        <v>210</v>
      </c>
      <c r="E34" s="87">
        <v>6551300</v>
      </c>
      <c r="F34" s="87"/>
      <c r="G34" s="87">
        <f>SUM(E34:F34)</f>
        <v>6551300</v>
      </c>
      <c r="H34" s="87"/>
      <c r="I34" s="87">
        <f>SUM(G34:H34)</f>
        <v>6551300</v>
      </c>
      <c r="J34" s="87"/>
      <c r="K34" s="87">
        <f>SUM(I34:J34)</f>
        <v>6551300</v>
      </c>
      <c r="L34" s="87"/>
      <c r="M34" s="87">
        <f>SUM(K34:L34)</f>
        <v>6551300</v>
      </c>
      <c r="N34" s="87"/>
      <c r="O34" s="87">
        <f>SUM(M34:N34)</f>
        <v>6551300</v>
      </c>
      <c r="P34" s="87"/>
      <c r="Q34" s="87">
        <f>SUM(O34:P34)</f>
        <v>6551300</v>
      </c>
      <c r="R34" s="87"/>
      <c r="S34" s="87">
        <f>SUM(Q34:R34)</f>
        <v>6551300</v>
      </c>
      <c r="T34" s="87"/>
      <c r="U34" s="87">
        <f>SUM(S34:T34)</f>
        <v>6551300</v>
      </c>
      <c r="V34" s="87"/>
      <c r="W34" s="87">
        <f>SUM(U34:V34)</f>
        <v>6551300</v>
      </c>
      <c r="X34" s="87"/>
      <c r="Y34" s="87">
        <f>SUM(W34:X34)</f>
        <v>6551300</v>
      </c>
      <c r="Z34" s="87"/>
      <c r="AA34" s="87">
        <f>SUM(Y34:Z34)</f>
        <v>6551300</v>
      </c>
      <c r="AB34" s="87"/>
      <c r="AC34" s="87">
        <f>SUM(AA34:AB34)</f>
        <v>6551300</v>
      </c>
      <c r="AD34" s="87"/>
      <c r="AE34" s="87">
        <f>SUM(AC34:AD34)</f>
        <v>6551300</v>
      </c>
      <c r="AF34" s="87">
        <v>100000</v>
      </c>
      <c r="AG34" s="87">
        <f>SUM(AE34:AF34)</f>
        <v>6651300</v>
      </c>
    </row>
    <row r="35" spans="1:33" s="23" customFormat="1" ht="72" customHeight="1">
      <c r="A35" s="64"/>
      <c r="B35" s="83">
        <v>85213</v>
      </c>
      <c r="C35" s="65"/>
      <c r="D35" s="74" t="s">
        <v>250</v>
      </c>
      <c r="E35" s="87">
        <f aca="true" t="shared" si="20" ref="E35:K35">SUM(E36:E37)</f>
        <v>49134</v>
      </c>
      <c r="F35" s="87">
        <f t="shared" si="20"/>
        <v>0</v>
      </c>
      <c r="G35" s="87">
        <f t="shared" si="20"/>
        <v>49134</v>
      </c>
      <c r="H35" s="87">
        <f t="shared" si="20"/>
        <v>-73</v>
      </c>
      <c r="I35" s="87">
        <f t="shared" si="20"/>
        <v>49061</v>
      </c>
      <c r="J35" s="87">
        <f t="shared" si="20"/>
        <v>0</v>
      </c>
      <c r="K35" s="87">
        <f t="shared" si="20"/>
        <v>49061</v>
      </c>
      <c r="L35" s="87">
        <f aca="true" t="shared" si="21" ref="L35:Q35">SUM(L36:L37)</f>
        <v>0</v>
      </c>
      <c r="M35" s="87">
        <f t="shared" si="21"/>
        <v>49061</v>
      </c>
      <c r="N35" s="87">
        <f t="shared" si="21"/>
        <v>0</v>
      </c>
      <c r="O35" s="87">
        <f t="shared" si="21"/>
        <v>49061</v>
      </c>
      <c r="P35" s="87">
        <f t="shared" si="21"/>
        <v>0</v>
      </c>
      <c r="Q35" s="87">
        <f t="shared" si="21"/>
        <v>49061</v>
      </c>
      <c r="R35" s="87">
        <f aca="true" t="shared" si="22" ref="R35:W35">SUM(R36:R37)</f>
        <v>0</v>
      </c>
      <c r="S35" s="87">
        <f t="shared" si="22"/>
        <v>49061</v>
      </c>
      <c r="T35" s="87">
        <f t="shared" si="22"/>
        <v>0</v>
      </c>
      <c r="U35" s="87">
        <f t="shared" si="22"/>
        <v>49061</v>
      </c>
      <c r="V35" s="87">
        <f t="shared" si="22"/>
        <v>3673</v>
      </c>
      <c r="W35" s="87">
        <f t="shared" si="22"/>
        <v>52734</v>
      </c>
      <c r="X35" s="87">
        <f aca="true" t="shared" si="23" ref="X35:AC35">SUM(X36:X37)</f>
        <v>0</v>
      </c>
      <c r="Y35" s="87">
        <f t="shared" si="23"/>
        <v>52734</v>
      </c>
      <c r="Z35" s="87">
        <f t="shared" si="23"/>
        <v>0</v>
      </c>
      <c r="AA35" s="87">
        <f t="shared" si="23"/>
        <v>52734</v>
      </c>
      <c r="AB35" s="87">
        <f t="shared" si="23"/>
        <v>0</v>
      </c>
      <c r="AC35" s="87">
        <f t="shared" si="23"/>
        <v>52734</v>
      </c>
      <c r="AD35" s="87">
        <f>SUM(AD36:AD37)</f>
        <v>-2134</v>
      </c>
      <c r="AE35" s="87">
        <f>SUM(AE36:AE37)</f>
        <v>50600</v>
      </c>
      <c r="AF35" s="87">
        <f>SUM(AF36:AF37)</f>
        <v>1000</v>
      </c>
      <c r="AG35" s="87">
        <f>SUM(AG36:AG37)</f>
        <v>51600</v>
      </c>
    </row>
    <row r="36" spans="1:33" s="23" customFormat="1" ht="60.75" customHeight="1">
      <c r="A36" s="64"/>
      <c r="B36" s="83"/>
      <c r="C36" s="65">
        <v>2010</v>
      </c>
      <c r="D36" s="37" t="s">
        <v>210</v>
      </c>
      <c r="E36" s="87">
        <v>12000</v>
      </c>
      <c r="F36" s="87"/>
      <c r="G36" s="87">
        <f>SUM(E36:F36)</f>
        <v>12000</v>
      </c>
      <c r="H36" s="87">
        <v>-73</v>
      </c>
      <c r="I36" s="87">
        <f>SUM(G36:H36)</f>
        <v>11927</v>
      </c>
      <c r="J36" s="87"/>
      <c r="K36" s="87">
        <f>SUM(I36:J36)</f>
        <v>11927</v>
      </c>
      <c r="L36" s="87"/>
      <c r="M36" s="87">
        <f>SUM(K36:L36)</f>
        <v>11927</v>
      </c>
      <c r="N36" s="87"/>
      <c r="O36" s="87">
        <f>SUM(M36:N36)</f>
        <v>11927</v>
      </c>
      <c r="P36" s="87"/>
      <c r="Q36" s="87">
        <f>SUM(O36:P36)</f>
        <v>11927</v>
      </c>
      <c r="R36" s="87"/>
      <c r="S36" s="87">
        <f>SUM(Q36:R36)</f>
        <v>11927</v>
      </c>
      <c r="T36" s="87"/>
      <c r="U36" s="87">
        <f>SUM(S36:T36)</f>
        <v>11927</v>
      </c>
      <c r="V36" s="87">
        <v>3673</v>
      </c>
      <c r="W36" s="87">
        <f>SUM(U36:V36)</f>
        <v>15600</v>
      </c>
      <c r="X36" s="87"/>
      <c r="Y36" s="87">
        <f>SUM(W36:X36)</f>
        <v>15600</v>
      </c>
      <c r="Z36" s="87"/>
      <c r="AA36" s="87">
        <f>SUM(Y36:Z36)</f>
        <v>15600</v>
      </c>
      <c r="AB36" s="87"/>
      <c r="AC36" s="87">
        <f>SUM(AA36:AB36)</f>
        <v>15600</v>
      </c>
      <c r="AD36" s="87">
        <v>1400</v>
      </c>
      <c r="AE36" s="87">
        <f>SUM(AC36:AD36)</f>
        <v>17000</v>
      </c>
      <c r="AF36" s="87">
        <v>1000</v>
      </c>
      <c r="AG36" s="87">
        <f>SUM(AE36:AF36)</f>
        <v>18000</v>
      </c>
    </row>
    <row r="37" spans="1:33" s="23" customFormat="1" ht="39.75" customHeight="1">
      <c r="A37" s="64"/>
      <c r="B37" s="83"/>
      <c r="C37" s="65">
        <v>2030</v>
      </c>
      <c r="D37" s="74" t="s">
        <v>211</v>
      </c>
      <c r="E37" s="87">
        <v>37134</v>
      </c>
      <c r="F37" s="87"/>
      <c r="G37" s="87">
        <f>SUM(E37:F37)</f>
        <v>37134</v>
      </c>
      <c r="H37" s="87"/>
      <c r="I37" s="87">
        <f>SUM(G37:H37)</f>
        <v>37134</v>
      </c>
      <c r="J37" s="87"/>
      <c r="K37" s="87">
        <f>SUM(I37:J37)</f>
        <v>37134</v>
      </c>
      <c r="L37" s="87"/>
      <c r="M37" s="87">
        <f>SUM(K37:L37)</f>
        <v>37134</v>
      </c>
      <c r="N37" s="87"/>
      <c r="O37" s="87">
        <f>SUM(M37:N37)</f>
        <v>37134</v>
      </c>
      <c r="P37" s="87"/>
      <c r="Q37" s="87">
        <f>SUM(O37:P37)</f>
        <v>37134</v>
      </c>
      <c r="R37" s="87"/>
      <c r="S37" s="87">
        <f>SUM(Q37:R37)</f>
        <v>37134</v>
      </c>
      <c r="T37" s="87"/>
      <c r="U37" s="87">
        <f>SUM(S37:T37)</f>
        <v>37134</v>
      </c>
      <c r="V37" s="87"/>
      <c r="W37" s="87">
        <f>SUM(U37:V37)</f>
        <v>37134</v>
      </c>
      <c r="X37" s="87"/>
      <c r="Y37" s="87">
        <f>SUM(W37:X37)</f>
        <v>37134</v>
      </c>
      <c r="Z37" s="87"/>
      <c r="AA37" s="87">
        <f>SUM(Y37:Z37)</f>
        <v>37134</v>
      </c>
      <c r="AB37" s="87"/>
      <c r="AC37" s="87">
        <f>SUM(AA37:AB37)</f>
        <v>37134</v>
      </c>
      <c r="AD37" s="87">
        <v>-3534</v>
      </c>
      <c r="AE37" s="87">
        <f>SUM(AC37:AD37)</f>
        <v>33600</v>
      </c>
      <c r="AF37" s="87"/>
      <c r="AG37" s="87">
        <f>SUM(AE37:AF37)</f>
        <v>33600</v>
      </c>
    </row>
    <row r="38" spans="1:33" s="23" customFormat="1" ht="28.5" customHeight="1">
      <c r="A38" s="64"/>
      <c r="B38" s="64" t="s">
        <v>153</v>
      </c>
      <c r="C38" s="65"/>
      <c r="D38" s="37" t="s">
        <v>218</v>
      </c>
      <c r="E38" s="89">
        <f aca="true" t="shared" si="24" ref="E38:AG38">SUM(E39:E39)</f>
        <v>539695</v>
      </c>
      <c r="F38" s="89">
        <f t="shared" si="24"/>
        <v>0</v>
      </c>
      <c r="G38" s="89">
        <f t="shared" si="24"/>
        <v>539695</v>
      </c>
      <c r="H38" s="89">
        <f t="shared" si="24"/>
        <v>0</v>
      </c>
      <c r="I38" s="89">
        <f t="shared" si="24"/>
        <v>539695</v>
      </c>
      <c r="J38" s="89">
        <f t="shared" si="24"/>
        <v>0</v>
      </c>
      <c r="K38" s="89">
        <f t="shared" si="24"/>
        <v>539695</v>
      </c>
      <c r="L38" s="89">
        <f t="shared" si="24"/>
        <v>0</v>
      </c>
      <c r="M38" s="89">
        <f t="shared" si="24"/>
        <v>539695</v>
      </c>
      <c r="N38" s="89">
        <f t="shared" si="24"/>
        <v>0</v>
      </c>
      <c r="O38" s="89">
        <f t="shared" si="24"/>
        <v>539695</v>
      </c>
      <c r="P38" s="89">
        <f t="shared" si="24"/>
        <v>0</v>
      </c>
      <c r="Q38" s="89">
        <f t="shared" si="24"/>
        <v>539695</v>
      </c>
      <c r="R38" s="89">
        <f t="shared" si="24"/>
        <v>0</v>
      </c>
      <c r="S38" s="89">
        <f t="shared" si="24"/>
        <v>539695</v>
      </c>
      <c r="T38" s="89">
        <f t="shared" si="24"/>
        <v>0</v>
      </c>
      <c r="U38" s="89">
        <f t="shared" si="24"/>
        <v>539695</v>
      </c>
      <c r="V38" s="89">
        <f t="shared" si="24"/>
        <v>73405</v>
      </c>
      <c r="W38" s="89">
        <f t="shared" si="24"/>
        <v>613100</v>
      </c>
      <c r="X38" s="89">
        <f t="shared" si="24"/>
        <v>0</v>
      </c>
      <c r="Y38" s="89">
        <f t="shared" si="24"/>
        <v>613100</v>
      </c>
      <c r="Z38" s="89">
        <f t="shared" si="24"/>
        <v>118159</v>
      </c>
      <c r="AA38" s="89">
        <f t="shared" si="24"/>
        <v>731259</v>
      </c>
      <c r="AB38" s="89">
        <f t="shared" si="24"/>
        <v>0</v>
      </c>
      <c r="AC38" s="89">
        <f t="shared" si="24"/>
        <v>731259</v>
      </c>
      <c r="AD38" s="89">
        <f t="shared" si="24"/>
        <v>0</v>
      </c>
      <c r="AE38" s="89">
        <f t="shared" si="24"/>
        <v>731259</v>
      </c>
      <c r="AF38" s="89">
        <f t="shared" si="24"/>
        <v>216204</v>
      </c>
      <c r="AG38" s="89">
        <f t="shared" si="24"/>
        <v>947463</v>
      </c>
    </row>
    <row r="39" spans="1:33" s="23" customFormat="1" ht="39" customHeight="1">
      <c r="A39" s="64"/>
      <c r="B39" s="64"/>
      <c r="C39" s="66">
        <v>2030</v>
      </c>
      <c r="D39" s="74" t="s">
        <v>211</v>
      </c>
      <c r="E39" s="89">
        <v>539695</v>
      </c>
      <c r="F39" s="89"/>
      <c r="G39" s="89">
        <f>SUM(E39:F39)</f>
        <v>539695</v>
      </c>
      <c r="H39" s="89"/>
      <c r="I39" s="89">
        <f>SUM(G39:H39)</f>
        <v>539695</v>
      </c>
      <c r="J39" s="89"/>
      <c r="K39" s="89">
        <f>SUM(I39:J39)</f>
        <v>539695</v>
      </c>
      <c r="L39" s="89"/>
      <c r="M39" s="89">
        <f>SUM(K39:L39)</f>
        <v>539695</v>
      </c>
      <c r="N39" s="89"/>
      <c r="O39" s="89">
        <f>SUM(M39:N39)</f>
        <v>539695</v>
      </c>
      <c r="P39" s="89"/>
      <c r="Q39" s="89">
        <f>SUM(O39:P39)</f>
        <v>539695</v>
      </c>
      <c r="R39" s="89"/>
      <c r="S39" s="89">
        <f>SUM(Q39:R39)</f>
        <v>539695</v>
      </c>
      <c r="T39" s="89"/>
      <c r="U39" s="89">
        <f>SUM(S39:T39)</f>
        <v>539695</v>
      </c>
      <c r="V39" s="89">
        <v>73405</v>
      </c>
      <c r="W39" s="89">
        <f>SUM(U39:V39)</f>
        <v>613100</v>
      </c>
      <c r="X39" s="89"/>
      <c r="Y39" s="89">
        <f>SUM(W39:X39)</f>
        <v>613100</v>
      </c>
      <c r="Z39" s="89">
        <v>118159</v>
      </c>
      <c r="AA39" s="89">
        <f>SUM(Y39:Z39)</f>
        <v>731259</v>
      </c>
      <c r="AB39" s="89"/>
      <c r="AC39" s="89">
        <f>SUM(AA39:AB39)</f>
        <v>731259</v>
      </c>
      <c r="AD39" s="89"/>
      <c r="AE39" s="89">
        <f>SUM(AC39:AD39)</f>
        <v>731259</v>
      </c>
      <c r="AF39" s="89">
        <f>92919+123285</f>
        <v>216204</v>
      </c>
      <c r="AG39" s="89">
        <f>SUM(AE39:AF39)</f>
        <v>947463</v>
      </c>
    </row>
    <row r="40" spans="1:33" s="23" customFormat="1" ht="20.25" customHeight="1">
      <c r="A40" s="64"/>
      <c r="B40" s="64">
        <v>85216</v>
      </c>
      <c r="C40" s="66"/>
      <c r="D40" s="74" t="s">
        <v>253</v>
      </c>
      <c r="E40" s="89">
        <f aca="true" t="shared" si="25" ref="E40:AG40">SUM(E41)</f>
        <v>449868</v>
      </c>
      <c r="F40" s="89">
        <f t="shared" si="25"/>
        <v>0</v>
      </c>
      <c r="G40" s="89">
        <f t="shared" si="25"/>
        <v>449868</v>
      </c>
      <c r="H40" s="89">
        <f t="shared" si="25"/>
        <v>0</v>
      </c>
      <c r="I40" s="89">
        <f t="shared" si="25"/>
        <v>449868</v>
      </c>
      <c r="J40" s="89">
        <f t="shared" si="25"/>
        <v>0</v>
      </c>
      <c r="K40" s="89">
        <f t="shared" si="25"/>
        <v>449868</v>
      </c>
      <c r="L40" s="89">
        <f t="shared" si="25"/>
        <v>0</v>
      </c>
      <c r="M40" s="89">
        <f t="shared" si="25"/>
        <v>449868</v>
      </c>
      <c r="N40" s="89">
        <f t="shared" si="25"/>
        <v>0</v>
      </c>
      <c r="O40" s="89">
        <f t="shared" si="25"/>
        <v>449868</v>
      </c>
      <c r="P40" s="89">
        <f t="shared" si="25"/>
        <v>0</v>
      </c>
      <c r="Q40" s="89">
        <f t="shared" si="25"/>
        <v>449868</v>
      </c>
      <c r="R40" s="89">
        <f t="shared" si="25"/>
        <v>0</v>
      </c>
      <c r="S40" s="89">
        <f t="shared" si="25"/>
        <v>449868</v>
      </c>
      <c r="T40" s="89">
        <f t="shared" si="25"/>
        <v>0</v>
      </c>
      <c r="U40" s="89">
        <f t="shared" si="25"/>
        <v>449868</v>
      </c>
      <c r="V40" s="89">
        <f t="shared" si="25"/>
        <v>11041</v>
      </c>
      <c r="W40" s="89">
        <f t="shared" si="25"/>
        <v>460909</v>
      </c>
      <c r="X40" s="89">
        <f t="shared" si="25"/>
        <v>0</v>
      </c>
      <c r="Y40" s="89">
        <f t="shared" si="25"/>
        <v>460909</v>
      </c>
      <c r="Z40" s="89">
        <f t="shared" si="25"/>
        <v>6248</v>
      </c>
      <c r="AA40" s="89">
        <f t="shared" si="25"/>
        <v>467157</v>
      </c>
      <c r="AB40" s="89">
        <f t="shared" si="25"/>
        <v>0</v>
      </c>
      <c r="AC40" s="89">
        <f t="shared" si="25"/>
        <v>467157</v>
      </c>
      <c r="AD40" s="89">
        <f t="shared" si="25"/>
        <v>10308</v>
      </c>
      <c r="AE40" s="89">
        <f t="shared" si="25"/>
        <v>477465</v>
      </c>
      <c r="AF40" s="89">
        <f t="shared" si="25"/>
        <v>0</v>
      </c>
      <c r="AG40" s="89">
        <f t="shared" si="25"/>
        <v>477465</v>
      </c>
    </row>
    <row r="41" spans="1:33" s="23" customFormat="1" ht="37.5" customHeight="1">
      <c r="A41" s="64"/>
      <c r="B41" s="64"/>
      <c r="C41" s="66">
        <v>2030</v>
      </c>
      <c r="D41" s="74" t="s">
        <v>211</v>
      </c>
      <c r="E41" s="89">
        <v>449868</v>
      </c>
      <c r="F41" s="89"/>
      <c r="G41" s="89">
        <f>SUM(E41:F41)</f>
        <v>449868</v>
      </c>
      <c r="H41" s="89"/>
      <c r="I41" s="89">
        <f>SUM(G41:H41)</f>
        <v>449868</v>
      </c>
      <c r="J41" s="89"/>
      <c r="K41" s="89">
        <f>SUM(I41:J41)</f>
        <v>449868</v>
      </c>
      <c r="L41" s="89"/>
      <c r="M41" s="89">
        <f>SUM(K41:L41)</f>
        <v>449868</v>
      </c>
      <c r="N41" s="89"/>
      <c r="O41" s="89">
        <f>SUM(M41:N41)</f>
        <v>449868</v>
      </c>
      <c r="P41" s="89"/>
      <c r="Q41" s="89">
        <f>SUM(O41:P41)</f>
        <v>449868</v>
      </c>
      <c r="R41" s="89"/>
      <c r="S41" s="89">
        <f>SUM(Q41:R41)</f>
        <v>449868</v>
      </c>
      <c r="T41" s="89"/>
      <c r="U41" s="89">
        <f>SUM(S41:T41)</f>
        <v>449868</v>
      </c>
      <c r="V41" s="89">
        <v>11041</v>
      </c>
      <c r="W41" s="89">
        <f>SUM(U41:V41)</f>
        <v>460909</v>
      </c>
      <c r="X41" s="89"/>
      <c r="Y41" s="89">
        <f>SUM(W41:X41)</f>
        <v>460909</v>
      </c>
      <c r="Z41" s="89">
        <v>6248</v>
      </c>
      <c r="AA41" s="89">
        <f>SUM(Y41:Z41)</f>
        <v>467157</v>
      </c>
      <c r="AB41" s="89"/>
      <c r="AC41" s="89">
        <f>SUM(AA41:AB41)</f>
        <v>467157</v>
      </c>
      <c r="AD41" s="89">
        <v>10308</v>
      </c>
      <c r="AE41" s="89">
        <f>SUM(AC41:AD41)</f>
        <v>477465</v>
      </c>
      <c r="AF41" s="89"/>
      <c r="AG41" s="89">
        <f>SUM(AE41:AF41)</f>
        <v>477465</v>
      </c>
    </row>
    <row r="42" spans="1:33" s="23" customFormat="1" ht="19.5" customHeight="1">
      <c r="A42" s="64"/>
      <c r="B42" s="64" t="s">
        <v>154</v>
      </c>
      <c r="C42" s="65"/>
      <c r="D42" s="37" t="s">
        <v>57</v>
      </c>
      <c r="E42" s="89">
        <f>E44</f>
        <v>374299</v>
      </c>
      <c r="F42" s="89">
        <f>F44</f>
        <v>0</v>
      </c>
      <c r="G42" s="89">
        <f>G44</f>
        <v>374299</v>
      </c>
      <c r="H42" s="89">
        <f>H44</f>
        <v>0</v>
      </c>
      <c r="I42" s="89">
        <f aca="true" t="shared" si="26" ref="I42:O42">SUM(I43:I44)</f>
        <v>374299</v>
      </c>
      <c r="J42" s="89">
        <f t="shared" si="26"/>
        <v>5500</v>
      </c>
      <c r="K42" s="89">
        <f t="shared" si="26"/>
        <v>379799</v>
      </c>
      <c r="L42" s="89">
        <f t="shared" si="26"/>
        <v>0</v>
      </c>
      <c r="M42" s="89">
        <f t="shared" si="26"/>
        <v>379799</v>
      </c>
      <c r="N42" s="89">
        <f t="shared" si="26"/>
        <v>13351</v>
      </c>
      <c r="O42" s="89">
        <f t="shared" si="26"/>
        <v>393150</v>
      </c>
      <c r="P42" s="89">
        <f aca="true" t="shared" si="27" ref="P42:U42">SUM(P43:P44)</f>
        <v>0</v>
      </c>
      <c r="Q42" s="89">
        <f t="shared" si="27"/>
        <v>393150</v>
      </c>
      <c r="R42" s="89">
        <f t="shared" si="27"/>
        <v>0</v>
      </c>
      <c r="S42" s="89">
        <f t="shared" si="27"/>
        <v>393150</v>
      </c>
      <c r="T42" s="89">
        <f t="shared" si="27"/>
        <v>0</v>
      </c>
      <c r="U42" s="89">
        <f t="shared" si="27"/>
        <v>393150</v>
      </c>
      <c r="V42" s="89">
        <f aca="true" t="shared" si="28" ref="V42:AA42">SUM(V43:V44)</f>
        <v>0</v>
      </c>
      <c r="W42" s="89">
        <f t="shared" si="28"/>
        <v>393150</v>
      </c>
      <c r="X42" s="89">
        <f t="shared" si="28"/>
        <v>17765</v>
      </c>
      <c r="Y42" s="89">
        <f t="shared" si="28"/>
        <v>410915</v>
      </c>
      <c r="Z42" s="89">
        <f t="shared" si="28"/>
        <v>0</v>
      </c>
      <c r="AA42" s="89">
        <f t="shared" si="28"/>
        <v>410915</v>
      </c>
      <c r="AB42" s="89">
        <f aca="true" t="shared" si="29" ref="AB42:AG42">SUM(AB43:AB44)</f>
        <v>0</v>
      </c>
      <c r="AC42" s="89">
        <f t="shared" si="29"/>
        <v>410915</v>
      </c>
      <c r="AD42" s="89">
        <f t="shared" si="29"/>
        <v>4483</v>
      </c>
      <c r="AE42" s="89">
        <f t="shared" si="29"/>
        <v>415398</v>
      </c>
      <c r="AF42" s="89">
        <f t="shared" si="29"/>
        <v>0</v>
      </c>
      <c r="AG42" s="89">
        <f t="shared" si="29"/>
        <v>415398</v>
      </c>
    </row>
    <row r="43" spans="1:33" s="23" customFormat="1" ht="63" customHeight="1">
      <c r="A43" s="64"/>
      <c r="B43" s="64"/>
      <c r="C43" s="65">
        <v>2010</v>
      </c>
      <c r="D43" s="37" t="s">
        <v>210</v>
      </c>
      <c r="E43" s="89"/>
      <c r="F43" s="89"/>
      <c r="G43" s="89"/>
      <c r="H43" s="89"/>
      <c r="I43" s="89">
        <v>0</v>
      </c>
      <c r="J43" s="89">
        <v>5500</v>
      </c>
      <c r="K43" s="89">
        <f>SUM(I43:J43)</f>
        <v>5500</v>
      </c>
      <c r="L43" s="89"/>
      <c r="M43" s="89">
        <f>SUM(K43:L43)</f>
        <v>5500</v>
      </c>
      <c r="N43" s="89"/>
      <c r="O43" s="89">
        <f>SUM(M43:N43)</f>
        <v>5500</v>
      </c>
      <c r="P43" s="89"/>
      <c r="Q43" s="89">
        <f>SUM(O43:P43)</f>
        <v>5500</v>
      </c>
      <c r="R43" s="89"/>
      <c r="S43" s="89">
        <f>SUM(Q43:R43)</f>
        <v>5500</v>
      </c>
      <c r="T43" s="89"/>
      <c r="U43" s="89">
        <f>SUM(S43:T43)</f>
        <v>5500</v>
      </c>
      <c r="V43" s="89"/>
      <c r="W43" s="89">
        <f>SUM(U43:V43)</f>
        <v>5500</v>
      </c>
      <c r="X43" s="89">
        <v>4000</v>
      </c>
      <c r="Y43" s="89">
        <f>SUM(W43:X43)</f>
        <v>9500</v>
      </c>
      <c r="Z43" s="89"/>
      <c r="AA43" s="89">
        <f>SUM(Y43:Z43)</f>
        <v>9500</v>
      </c>
      <c r="AB43" s="89"/>
      <c r="AC43" s="89">
        <f>SUM(AA43:AB43)</f>
        <v>9500</v>
      </c>
      <c r="AD43" s="89">
        <v>4483</v>
      </c>
      <c r="AE43" s="89">
        <f>SUM(AC43:AD43)</f>
        <v>13983</v>
      </c>
      <c r="AF43" s="89"/>
      <c r="AG43" s="89">
        <f>SUM(AE43:AF43)</f>
        <v>13983</v>
      </c>
    </row>
    <row r="44" spans="1:33" s="23" customFormat="1" ht="41.25" customHeight="1">
      <c r="A44" s="64"/>
      <c r="B44" s="64"/>
      <c r="C44" s="66">
        <v>2030</v>
      </c>
      <c r="D44" s="74" t="s">
        <v>211</v>
      </c>
      <c r="E44" s="89">
        <v>374299</v>
      </c>
      <c r="F44" s="89"/>
      <c r="G44" s="89">
        <f>SUM(E44:F44)</f>
        <v>374299</v>
      </c>
      <c r="H44" s="89"/>
      <c r="I44" s="89">
        <f>SUM(G44:H44)</f>
        <v>374299</v>
      </c>
      <c r="J44" s="89"/>
      <c r="K44" s="89">
        <f>SUM(I44:J44)</f>
        <v>374299</v>
      </c>
      <c r="L44" s="89"/>
      <c r="M44" s="89">
        <f>SUM(K44:L44)</f>
        <v>374299</v>
      </c>
      <c r="N44" s="89">
        <v>13351</v>
      </c>
      <c r="O44" s="89">
        <f>SUM(M44:N44)</f>
        <v>387650</v>
      </c>
      <c r="P44" s="89"/>
      <c r="Q44" s="89">
        <f>SUM(O44:P44)</f>
        <v>387650</v>
      </c>
      <c r="R44" s="89"/>
      <c r="S44" s="89">
        <f>SUM(Q44:R44)</f>
        <v>387650</v>
      </c>
      <c r="T44" s="89"/>
      <c r="U44" s="89">
        <f>SUM(S44:T44)</f>
        <v>387650</v>
      </c>
      <c r="V44" s="89"/>
      <c r="W44" s="89">
        <f>SUM(U44:V44)</f>
        <v>387650</v>
      </c>
      <c r="X44" s="89">
        <v>13765</v>
      </c>
      <c r="Y44" s="89">
        <f>SUM(W44:X44)</f>
        <v>401415</v>
      </c>
      <c r="Z44" s="89"/>
      <c r="AA44" s="89">
        <f>SUM(Y44:Z44)</f>
        <v>401415</v>
      </c>
      <c r="AB44" s="89"/>
      <c r="AC44" s="89">
        <f>SUM(AA44:AB44)</f>
        <v>401415</v>
      </c>
      <c r="AD44" s="89"/>
      <c r="AE44" s="89">
        <f>SUM(AC44:AD44)</f>
        <v>401415</v>
      </c>
      <c r="AF44" s="89"/>
      <c r="AG44" s="89">
        <f>SUM(AE44:AF44)</f>
        <v>401415</v>
      </c>
    </row>
    <row r="45" spans="1:33" s="23" customFormat="1" ht="21.75" customHeight="1">
      <c r="A45" s="64"/>
      <c r="B45" s="64">
        <v>85295</v>
      </c>
      <c r="C45" s="66"/>
      <c r="D45" s="74" t="s">
        <v>6</v>
      </c>
      <c r="E45" s="89">
        <f aca="true" t="shared" si="30" ref="E45:AG45">SUM(E46)</f>
        <v>0</v>
      </c>
      <c r="F45" s="89">
        <f t="shared" si="30"/>
        <v>530000</v>
      </c>
      <c r="G45" s="89">
        <f t="shared" si="30"/>
        <v>530000</v>
      </c>
      <c r="H45" s="89">
        <f t="shared" si="30"/>
        <v>0</v>
      </c>
      <c r="I45" s="89">
        <f t="shared" si="30"/>
        <v>530000</v>
      </c>
      <c r="J45" s="89">
        <f t="shared" si="30"/>
        <v>0</v>
      </c>
      <c r="K45" s="89">
        <f t="shared" si="30"/>
        <v>530000</v>
      </c>
      <c r="L45" s="89">
        <f t="shared" si="30"/>
        <v>0</v>
      </c>
      <c r="M45" s="89">
        <f t="shared" si="30"/>
        <v>530000</v>
      </c>
      <c r="N45" s="89">
        <f t="shared" si="30"/>
        <v>69400</v>
      </c>
      <c r="O45" s="89">
        <f t="shared" si="30"/>
        <v>599400</v>
      </c>
      <c r="P45" s="89">
        <f t="shared" si="30"/>
        <v>0</v>
      </c>
      <c r="Q45" s="89">
        <f t="shared" si="30"/>
        <v>599400</v>
      </c>
      <c r="R45" s="89">
        <f t="shared" si="30"/>
        <v>0</v>
      </c>
      <c r="S45" s="89">
        <f t="shared" si="30"/>
        <v>599400</v>
      </c>
      <c r="T45" s="89">
        <f t="shared" si="30"/>
        <v>0</v>
      </c>
      <c r="U45" s="89">
        <f t="shared" si="30"/>
        <v>599400</v>
      </c>
      <c r="V45" s="89">
        <f t="shared" si="30"/>
        <v>0</v>
      </c>
      <c r="W45" s="89">
        <f t="shared" si="30"/>
        <v>599400</v>
      </c>
      <c r="X45" s="89">
        <f t="shared" si="30"/>
        <v>0</v>
      </c>
      <c r="Y45" s="89">
        <f t="shared" si="30"/>
        <v>599400</v>
      </c>
      <c r="Z45" s="89">
        <f t="shared" si="30"/>
        <v>334381</v>
      </c>
      <c r="AA45" s="89">
        <f t="shared" si="30"/>
        <v>933781</v>
      </c>
      <c r="AB45" s="89">
        <f t="shared" si="30"/>
        <v>0</v>
      </c>
      <c r="AC45" s="89">
        <f t="shared" si="30"/>
        <v>933781</v>
      </c>
      <c r="AD45" s="89">
        <f t="shared" si="30"/>
        <v>104838</v>
      </c>
      <c r="AE45" s="89">
        <f t="shared" si="30"/>
        <v>1038619</v>
      </c>
      <c r="AF45" s="89">
        <f t="shared" si="30"/>
        <v>0</v>
      </c>
      <c r="AG45" s="89">
        <f t="shared" si="30"/>
        <v>1038619</v>
      </c>
    </row>
    <row r="46" spans="1:33" s="23" customFormat="1" ht="39.75" customHeight="1">
      <c r="A46" s="64"/>
      <c r="B46" s="64"/>
      <c r="C46" s="66">
        <v>2030</v>
      </c>
      <c r="D46" s="74" t="s">
        <v>211</v>
      </c>
      <c r="E46" s="89">
        <v>0</v>
      </c>
      <c r="F46" s="89">
        <v>530000</v>
      </c>
      <c r="G46" s="89">
        <f>SUM(E46:F46)</f>
        <v>530000</v>
      </c>
      <c r="H46" s="89"/>
      <c r="I46" s="89">
        <f>SUM(G46:H46)</f>
        <v>530000</v>
      </c>
      <c r="J46" s="89"/>
      <c r="K46" s="89">
        <f>SUM(I46:J46)</f>
        <v>530000</v>
      </c>
      <c r="L46" s="89"/>
      <c r="M46" s="89">
        <f>SUM(K46:L46)</f>
        <v>530000</v>
      </c>
      <c r="N46" s="89">
        <v>69400</v>
      </c>
      <c r="O46" s="89">
        <f>SUM(M46:N46)</f>
        <v>599400</v>
      </c>
      <c r="P46" s="89"/>
      <c r="Q46" s="89">
        <f>SUM(O46:P46)</f>
        <v>599400</v>
      </c>
      <c r="R46" s="89"/>
      <c r="S46" s="89">
        <f>SUM(Q46:R46)</f>
        <v>599400</v>
      </c>
      <c r="T46" s="89"/>
      <c r="U46" s="89">
        <f>SUM(S46:T46)</f>
        <v>599400</v>
      </c>
      <c r="V46" s="89"/>
      <c r="W46" s="89">
        <f>SUM(U46:V46)</f>
        <v>599400</v>
      </c>
      <c r="X46" s="89"/>
      <c r="Y46" s="89">
        <f>SUM(W46:X46)</f>
        <v>599400</v>
      </c>
      <c r="Z46" s="89">
        <v>334381</v>
      </c>
      <c r="AA46" s="89">
        <f>SUM(Y46:Z46)</f>
        <v>933781</v>
      </c>
      <c r="AB46" s="89"/>
      <c r="AC46" s="89">
        <f>SUM(AA46:AB46)</f>
        <v>933781</v>
      </c>
      <c r="AD46" s="89">
        <v>104838</v>
      </c>
      <c r="AE46" s="89">
        <f>SUM(AC46:AD46)</f>
        <v>1038619</v>
      </c>
      <c r="AF46" s="89"/>
      <c r="AG46" s="89">
        <f>SUM(AE46:AF46)</f>
        <v>1038619</v>
      </c>
    </row>
    <row r="47" spans="1:33" s="155" customFormat="1" ht="27" customHeight="1">
      <c r="A47" s="197">
        <v>854</v>
      </c>
      <c r="B47" s="198"/>
      <c r="C47" s="199"/>
      <c r="D47" s="200" t="s">
        <v>58</v>
      </c>
      <c r="E47" s="202"/>
      <c r="F47" s="202"/>
      <c r="G47" s="202"/>
      <c r="H47" s="202"/>
      <c r="I47" s="202"/>
      <c r="J47" s="202"/>
      <c r="K47" s="202">
        <f aca="true" t="shared" si="31" ref="K47:AF48">SUM(K48)</f>
        <v>0</v>
      </c>
      <c r="L47" s="202">
        <f t="shared" si="31"/>
        <v>279792</v>
      </c>
      <c r="M47" s="202">
        <f t="shared" si="31"/>
        <v>279792</v>
      </c>
      <c r="N47" s="202">
        <f t="shared" si="31"/>
        <v>0</v>
      </c>
      <c r="O47" s="202">
        <f t="shared" si="31"/>
        <v>279792</v>
      </c>
      <c r="P47" s="202">
        <f t="shared" si="31"/>
        <v>0</v>
      </c>
      <c r="Q47" s="202">
        <f t="shared" si="31"/>
        <v>279792</v>
      </c>
      <c r="R47" s="202">
        <f t="shared" si="31"/>
        <v>0</v>
      </c>
      <c r="S47" s="202">
        <f t="shared" si="31"/>
        <v>279792</v>
      </c>
      <c r="T47" s="202">
        <f t="shared" si="31"/>
        <v>0</v>
      </c>
      <c r="U47" s="202">
        <f t="shared" si="31"/>
        <v>279792</v>
      </c>
      <c r="V47" s="202">
        <f t="shared" si="31"/>
        <v>0</v>
      </c>
      <c r="W47" s="202">
        <f t="shared" si="31"/>
        <v>279792</v>
      </c>
      <c r="X47" s="202">
        <f t="shared" si="31"/>
        <v>60600</v>
      </c>
      <c r="Y47" s="202">
        <f t="shared" si="31"/>
        <v>340392</v>
      </c>
      <c r="Z47" s="202">
        <f t="shared" si="31"/>
        <v>0</v>
      </c>
      <c r="AA47" s="202">
        <f>SUM(AA48)</f>
        <v>340392</v>
      </c>
      <c r="AB47" s="202">
        <f t="shared" si="31"/>
        <v>0</v>
      </c>
      <c r="AC47" s="202">
        <f>SUM(AC48)</f>
        <v>340392</v>
      </c>
      <c r="AD47" s="202">
        <f t="shared" si="31"/>
        <v>158523</v>
      </c>
      <c r="AE47" s="202">
        <f>SUM(AE48)</f>
        <v>498915</v>
      </c>
      <c r="AF47" s="202">
        <f t="shared" si="31"/>
        <v>0</v>
      </c>
      <c r="AG47" s="202">
        <f>SUM(AG48)</f>
        <v>498915</v>
      </c>
    </row>
    <row r="48" spans="1:33" s="23" customFormat="1" ht="23.25" customHeight="1">
      <c r="A48" s="69"/>
      <c r="B48" s="70">
        <v>85415</v>
      </c>
      <c r="C48" s="76"/>
      <c r="D48" s="74" t="s">
        <v>451</v>
      </c>
      <c r="E48" s="89"/>
      <c r="F48" s="89"/>
      <c r="G48" s="89"/>
      <c r="H48" s="89"/>
      <c r="I48" s="89"/>
      <c r="J48" s="89"/>
      <c r="K48" s="89">
        <f t="shared" si="31"/>
        <v>0</v>
      </c>
      <c r="L48" s="89">
        <f t="shared" si="31"/>
        <v>279792</v>
      </c>
      <c r="M48" s="89">
        <f t="shared" si="31"/>
        <v>279792</v>
      </c>
      <c r="N48" s="89">
        <f t="shared" si="31"/>
        <v>0</v>
      </c>
      <c r="O48" s="89">
        <f t="shared" si="31"/>
        <v>279792</v>
      </c>
      <c r="P48" s="89">
        <f t="shared" si="31"/>
        <v>0</v>
      </c>
      <c r="Q48" s="89">
        <f t="shared" si="31"/>
        <v>279792</v>
      </c>
      <c r="R48" s="89">
        <f t="shared" si="31"/>
        <v>0</v>
      </c>
      <c r="S48" s="89">
        <f t="shared" si="31"/>
        <v>279792</v>
      </c>
      <c r="T48" s="89">
        <f t="shared" si="31"/>
        <v>0</v>
      </c>
      <c r="U48" s="89">
        <f t="shared" si="31"/>
        <v>279792</v>
      </c>
      <c r="V48" s="89">
        <f t="shared" si="31"/>
        <v>0</v>
      </c>
      <c r="W48" s="89">
        <f t="shared" si="31"/>
        <v>279792</v>
      </c>
      <c r="X48" s="89">
        <f t="shared" si="31"/>
        <v>60600</v>
      </c>
      <c r="Y48" s="89">
        <f t="shared" si="31"/>
        <v>340392</v>
      </c>
      <c r="Z48" s="89">
        <f>SUM(Z49)</f>
        <v>0</v>
      </c>
      <c r="AA48" s="89">
        <f>SUM(AA49)</f>
        <v>340392</v>
      </c>
      <c r="AB48" s="89">
        <f>SUM(AB49)</f>
        <v>0</v>
      </c>
      <c r="AC48" s="89">
        <f>SUM(AC49)</f>
        <v>340392</v>
      </c>
      <c r="AD48" s="89">
        <f>SUM(AD49)</f>
        <v>158523</v>
      </c>
      <c r="AE48" s="89">
        <f>SUM(AE49)</f>
        <v>498915</v>
      </c>
      <c r="AF48" s="89">
        <f>SUM(AF49)</f>
        <v>0</v>
      </c>
      <c r="AG48" s="89">
        <f>SUM(AG49)</f>
        <v>498915</v>
      </c>
    </row>
    <row r="49" spans="1:33" s="23" customFormat="1" ht="33.75">
      <c r="A49" s="69"/>
      <c r="B49" s="70"/>
      <c r="C49" s="76">
        <v>2030</v>
      </c>
      <c r="D49" s="74" t="s">
        <v>211</v>
      </c>
      <c r="E49" s="89"/>
      <c r="F49" s="89"/>
      <c r="G49" s="89"/>
      <c r="H49" s="89"/>
      <c r="I49" s="89"/>
      <c r="J49" s="89"/>
      <c r="K49" s="89">
        <v>0</v>
      </c>
      <c r="L49" s="89">
        <v>279792</v>
      </c>
      <c r="M49" s="89">
        <f>SUM(K49:L49)</f>
        <v>279792</v>
      </c>
      <c r="N49" s="89"/>
      <c r="O49" s="89">
        <f>SUM(M49:N49)</f>
        <v>279792</v>
      </c>
      <c r="P49" s="89"/>
      <c r="Q49" s="89">
        <f>SUM(O49:P49)</f>
        <v>279792</v>
      </c>
      <c r="R49" s="89"/>
      <c r="S49" s="89">
        <f>SUM(Q49:R49)</f>
        <v>279792</v>
      </c>
      <c r="T49" s="89"/>
      <c r="U49" s="89">
        <f>SUM(S49:T49)</f>
        <v>279792</v>
      </c>
      <c r="V49" s="89"/>
      <c r="W49" s="89">
        <f>SUM(U49:V49)</f>
        <v>279792</v>
      </c>
      <c r="X49" s="89">
        <v>60600</v>
      </c>
      <c r="Y49" s="89">
        <f>SUM(W49:X49)</f>
        <v>340392</v>
      </c>
      <c r="Z49" s="89"/>
      <c r="AA49" s="89">
        <f>SUM(Y49:Z49)</f>
        <v>340392</v>
      </c>
      <c r="AB49" s="89"/>
      <c r="AC49" s="89">
        <f>SUM(AA49:AB49)</f>
        <v>340392</v>
      </c>
      <c r="AD49" s="89">
        <v>158523</v>
      </c>
      <c r="AE49" s="89">
        <f>SUM(AC49:AD49)</f>
        <v>498915</v>
      </c>
      <c r="AF49" s="89"/>
      <c r="AG49" s="89">
        <f>SUM(AE49:AF49)</f>
        <v>498915</v>
      </c>
    </row>
    <row r="50" spans="1:33" s="6" customFormat="1" ht="24">
      <c r="A50" s="32" t="s">
        <v>62</v>
      </c>
      <c r="B50" s="26"/>
      <c r="C50" s="52"/>
      <c r="D50" s="35" t="s">
        <v>68</v>
      </c>
      <c r="E50" s="60">
        <f>SUM(E53)</f>
        <v>60000</v>
      </c>
      <c r="F50" s="60">
        <f>SUM(F53)</f>
        <v>0</v>
      </c>
      <c r="G50" s="60">
        <f>SUM(G53)</f>
        <v>60000</v>
      </c>
      <c r="H50" s="60">
        <f>SUM(H53)</f>
        <v>0</v>
      </c>
      <c r="I50" s="60">
        <f aca="true" t="shared" si="32" ref="I50:O50">SUM(I53,I51)</f>
        <v>60000</v>
      </c>
      <c r="J50" s="60">
        <f t="shared" si="32"/>
        <v>11400</v>
      </c>
      <c r="K50" s="60">
        <f t="shared" si="32"/>
        <v>71400</v>
      </c>
      <c r="L50" s="60">
        <f t="shared" si="32"/>
        <v>0</v>
      </c>
      <c r="M50" s="60">
        <f t="shared" si="32"/>
        <v>71400</v>
      </c>
      <c r="N50" s="60">
        <f t="shared" si="32"/>
        <v>0</v>
      </c>
      <c r="O50" s="60">
        <f t="shared" si="32"/>
        <v>71400</v>
      </c>
      <c r="P50" s="60">
        <f aca="true" t="shared" si="33" ref="P50:U50">SUM(P53,P51)</f>
        <v>0</v>
      </c>
      <c r="Q50" s="60">
        <f t="shared" si="33"/>
        <v>71400</v>
      </c>
      <c r="R50" s="60">
        <f t="shared" si="33"/>
        <v>0</v>
      </c>
      <c r="S50" s="60">
        <f t="shared" si="33"/>
        <v>71400</v>
      </c>
      <c r="T50" s="60">
        <f t="shared" si="33"/>
        <v>0</v>
      </c>
      <c r="U50" s="60">
        <f t="shared" si="33"/>
        <v>71400</v>
      </c>
      <c r="V50" s="60">
        <f aca="true" t="shared" si="34" ref="V50:AA50">SUM(V53,V51)</f>
        <v>0</v>
      </c>
      <c r="W50" s="60">
        <f t="shared" si="34"/>
        <v>71400</v>
      </c>
      <c r="X50" s="60">
        <f t="shared" si="34"/>
        <v>0</v>
      </c>
      <c r="Y50" s="60">
        <f t="shared" si="34"/>
        <v>71400</v>
      </c>
      <c r="Z50" s="60">
        <f t="shared" si="34"/>
        <v>0</v>
      </c>
      <c r="AA50" s="60">
        <f t="shared" si="34"/>
        <v>71400</v>
      </c>
      <c r="AB50" s="60">
        <f aca="true" t="shared" si="35" ref="AB50:AG50">SUM(AB53,AB51)</f>
        <v>0</v>
      </c>
      <c r="AC50" s="60">
        <f t="shared" si="35"/>
        <v>71400</v>
      </c>
      <c r="AD50" s="60">
        <f t="shared" si="35"/>
        <v>0</v>
      </c>
      <c r="AE50" s="60">
        <f t="shared" si="35"/>
        <v>71400</v>
      </c>
      <c r="AF50" s="60">
        <f t="shared" si="35"/>
        <v>0</v>
      </c>
      <c r="AG50" s="60">
        <f t="shared" si="35"/>
        <v>71400</v>
      </c>
    </row>
    <row r="51" spans="1:33" s="6" customFormat="1" ht="23.25" customHeight="1">
      <c r="A51" s="32"/>
      <c r="B51" s="130">
        <v>92105</v>
      </c>
      <c r="C51" s="135"/>
      <c r="D51" s="180" t="s">
        <v>331</v>
      </c>
      <c r="E51" s="60"/>
      <c r="F51" s="60"/>
      <c r="G51" s="60"/>
      <c r="H51" s="60"/>
      <c r="I51" s="181">
        <f aca="true" t="shared" si="36" ref="I51:AG51">SUM(I52)</f>
        <v>0</v>
      </c>
      <c r="J51" s="181">
        <f t="shared" si="36"/>
        <v>11400</v>
      </c>
      <c r="K51" s="181">
        <f t="shared" si="36"/>
        <v>11400</v>
      </c>
      <c r="L51" s="181">
        <f t="shared" si="36"/>
        <v>0</v>
      </c>
      <c r="M51" s="181">
        <f t="shared" si="36"/>
        <v>11400</v>
      </c>
      <c r="N51" s="181">
        <f t="shared" si="36"/>
        <v>0</v>
      </c>
      <c r="O51" s="181">
        <f t="shared" si="36"/>
        <v>11400</v>
      </c>
      <c r="P51" s="181">
        <f t="shared" si="36"/>
        <v>0</v>
      </c>
      <c r="Q51" s="181">
        <f t="shared" si="36"/>
        <v>11400</v>
      </c>
      <c r="R51" s="181">
        <f t="shared" si="36"/>
        <v>0</v>
      </c>
      <c r="S51" s="181">
        <f t="shared" si="36"/>
        <v>11400</v>
      </c>
      <c r="T51" s="181">
        <f t="shared" si="36"/>
        <v>0</v>
      </c>
      <c r="U51" s="181">
        <f t="shared" si="36"/>
        <v>11400</v>
      </c>
      <c r="V51" s="181">
        <f t="shared" si="36"/>
        <v>0</v>
      </c>
      <c r="W51" s="181">
        <f t="shared" si="36"/>
        <v>11400</v>
      </c>
      <c r="X51" s="181">
        <f t="shared" si="36"/>
        <v>0</v>
      </c>
      <c r="Y51" s="181">
        <f t="shared" si="36"/>
        <v>11400</v>
      </c>
      <c r="Z51" s="181">
        <f t="shared" si="36"/>
        <v>0</v>
      </c>
      <c r="AA51" s="181">
        <f t="shared" si="36"/>
        <v>11400</v>
      </c>
      <c r="AB51" s="181">
        <f t="shared" si="36"/>
        <v>0</v>
      </c>
      <c r="AC51" s="181">
        <f t="shared" si="36"/>
        <v>11400</v>
      </c>
      <c r="AD51" s="181">
        <f t="shared" si="36"/>
        <v>0</v>
      </c>
      <c r="AE51" s="181">
        <f t="shared" si="36"/>
        <v>11400</v>
      </c>
      <c r="AF51" s="181">
        <f t="shared" si="36"/>
        <v>0</v>
      </c>
      <c r="AG51" s="181">
        <f t="shared" si="36"/>
        <v>11400</v>
      </c>
    </row>
    <row r="52" spans="1:33" s="6" customFormat="1" ht="45">
      <c r="A52" s="32"/>
      <c r="B52" s="1"/>
      <c r="C52" s="71">
        <v>2320</v>
      </c>
      <c r="D52" s="74" t="s">
        <v>212</v>
      </c>
      <c r="E52" s="60"/>
      <c r="F52" s="60"/>
      <c r="G52" s="60"/>
      <c r="H52" s="60"/>
      <c r="I52" s="181">
        <v>0</v>
      </c>
      <c r="J52" s="181">
        <v>11400</v>
      </c>
      <c r="K52" s="181">
        <f>SUM(I52:J52)</f>
        <v>11400</v>
      </c>
      <c r="L52" s="181"/>
      <c r="M52" s="181">
        <f>SUM(K52:L52)</f>
        <v>11400</v>
      </c>
      <c r="N52" s="181"/>
      <c r="O52" s="181">
        <f>SUM(M52:N52)</f>
        <v>11400</v>
      </c>
      <c r="P52" s="181"/>
      <c r="Q52" s="181">
        <f>SUM(O52:P52)</f>
        <v>11400</v>
      </c>
      <c r="R52" s="181"/>
      <c r="S52" s="181">
        <f>SUM(Q52:R52)</f>
        <v>11400</v>
      </c>
      <c r="T52" s="181"/>
      <c r="U52" s="181">
        <f>SUM(S52:T52)</f>
        <v>11400</v>
      </c>
      <c r="V52" s="181"/>
      <c r="W52" s="181">
        <f>SUM(U52:V52)</f>
        <v>11400</v>
      </c>
      <c r="X52" s="181"/>
      <c r="Y52" s="181">
        <f>SUM(W52:X52)</f>
        <v>11400</v>
      </c>
      <c r="Z52" s="181"/>
      <c r="AA52" s="181">
        <f>SUM(Y52:Z52)</f>
        <v>11400</v>
      </c>
      <c r="AB52" s="181"/>
      <c r="AC52" s="181">
        <f>SUM(AA52:AB52)</f>
        <v>11400</v>
      </c>
      <c r="AD52" s="181"/>
      <c r="AE52" s="181">
        <f>SUM(AC52:AD52)</f>
        <v>11400</v>
      </c>
      <c r="AF52" s="181"/>
      <c r="AG52" s="181">
        <f>SUM(AE52:AF52)</f>
        <v>11400</v>
      </c>
    </row>
    <row r="53" spans="1:33" s="23" customFormat="1" ht="18" customHeight="1">
      <c r="A53" s="64"/>
      <c r="B53" s="64" t="s">
        <v>63</v>
      </c>
      <c r="C53" s="65"/>
      <c r="D53" s="37" t="s">
        <v>64</v>
      </c>
      <c r="E53" s="89">
        <f aca="true" t="shared" si="37" ref="E53:AG53">E54</f>
        <v>60000</v>
      </c>
      <c r="F53" s="89">
        <f t="shared" si="37"/>
        <v>0</v>
      </c>
      <c r="G53" s="89">
        <f t="shared" si="37"/>
        <v>60000</v>
      </c>
      <c r="H53" s="89">
        <f t="shared" si="37"/>
        <v>0</v>
      </c>
      <c r="I53" s="89">
        <f t="shared" si="37"/>
        <v>60000</v>
      </c>
      <c r="J53" s="89">
        <f t="shared" si="37"/>
        <v>0</v>
      </c>
      <c r="K53" s="89">
        <f t="shared" si="37"/>
        <v>60000</v>
      </c>
      <c r="L53" s="89">
        <f t="shared" si="37"/>
        <v>0</v>
      </c>
      <c r="M53" s="89">
        <f t="shared" si="37"/>
        <v>60000</v>
      </c>
      <c r="N53" s="89">
        <f t="shared" si="37"/>
        <v>0</v>
      </c>
      <c r="O53" s="89">
        <f t="shared" si="37"/>
        <v>60000</v>
      </c>
      <c r="P53" s="89">
        <f t="shared" si="37"/>
        <v>0</v>
      </c>
      <c r="Q53" s="89">
        <f t="shared" si="37"/>
        <v>60000</v>
      </c>
      <c r="R53" s="89">
        <f t="shared" si="37"/>
        <v>0</v>
      </c>
      <c r="S53" s="89">
        <f t="shared" si="37"/>
        <v>60000</v>
      </c>
      <c r="T53" s="89">
        <f t="shared" si="37"/>
        <v>0</v>
      </c>
      <c r="U53" s="89">
        <f t="shared" si="37"/>
        <v>60000</v>
      </c>
      <c r="V53" s="89">
        <f t="shared" si="37"/>
        <v>0</v>
      </c>
      <c r="W53" s="89">
        <f t="shared" si="37"/>
        <v>60000</v>
      </c>
      <c r="X53" s="89">
        <f t="shared" si="37"/>
        <v>0</v>
      </c>
      <c r="Y53" s="89">
        <f t="shared" si="37"/>
        <v>60000</v>
      </c>
      <c r="Z53" s="89">
        <f t="shared" si="37"/>
        <v>0</v>
      </c>
      <c r="AA53" s="89">
        <f t="shared" si="37"/>
        <v>60000</v>
      </c>
      <c r="AB53" s="89">
        <f t="shared" si="37"/>
        <v>0</v>
      </c>
      <c r="AC53" s="89">
        <f t="shared" si="37"/>
        <v>60000</v>
      </c>
      <c r="AD53" s="89">
        <f t="shared" si="37"/>
        <v>0</v>
      </c>
      <c r="AE53" s="89">
        <f t="shared" si="37"/>
        <v>60000</v>
      </c>
      <c r="AF53" s="89">
        <f t="shared" si="37"/>
        <v>0</v>
      </c>
      <c r="AG53" s="89">
        <f t="shared" si="37"/>
        <v>60000</v>
      </c>
    </row>
    <row r="54" spans="1:33" s="23" customFormat="1" ht="48.75" customHeight="1">
      <c r="A54" s="64"/>
      <c r="B54" s="64"/>
      <c r="C54" s="66">
        <v>2320</v>
      </c>
      <c r="D54" s="37" t="s">
        <v>212</v>
      </c>
      <c r="E54" s="89">
        <v>60000</v>
      </c>
      <c r="F54" s="89"/>
      <c r="G54" s="89">
        <f>SUM(E54:F54)</f>
        <v>60000</v>
      </c>
      <c r="H54" s="89"/>
      <c r="I54" s="89">
        <f>SUM(G54:H54)</f>
        <v>60000</v>
      </c>
      <c r="J54" s="89"/>
      <c r="K54" s="89">
        <f>SUM(I54:J54)</f>
        <v>60000</v>
      </c>
      <c r="L54" s="89"/>
      <c r="M54" s="89">
        <f>SUM(K54:L54)</f>
        <v>60000</v>
      </c>
      <c r="N54" s="89"/>
      <c r="O54" s="89">
        <f>SUM(M54:N54)</f>
        <v>60000</v>
      </c>
      <c r="P54" s="89"/>
      <c r="Q54" s="89">
        <f>SUM(O54:P54)</f>
        <v>60000</v>
      </c>
      <c r="R54" s="89"/>
      <c r="S54" s="89">
        <f>SUM(Q54:R54)</f>
        <v>60000</v>
      </c>
      <c r="T54" s="89"/>
      <c r="U54" s="89">
        <f>SUM(S54:T54)</f>
        <v>60000</v>
      </c>
      <c r="V54" s="89"/>
      <c r="W54" s="89">
        <f>SUM(U54:V54)</f>
        <v>60000</v>
      </c>
      <c r="X54" s="89"/>
      <c r="Y54" s="89">
        <f>SUM(W54:X54)</f>
        <v>60000</v>
      </c>
      <c r="Z54" s="89"/>
      <c r="AA54" s="89">
        <f>SUM(Y54:Z54)</f>
        <v>60000</v>
      </c>
      <c r="AB54" s="89"/>
      <c r="AC54" s="89">
        <f>SUM(AA54:AB54)</f>
        <v>60000</v>
      </c>
      <c r="AD54" s="89"/>
      <c r="AE54" s="89">
        <f>SUM(AC54:AD54)</f>
        <v>60000</v>
      </c>
      <c r="AF54" s="89"/>
      <c r="AG54" s="89">
        <f>SUM(AE54:AF54)</f>
        <v>60000</v>
      </c>
    </row>
    <row r="55" spans="1:33" s="23" customFormat="1" ht="24" customHeight="1">
      <c r="A55" s="177">
        <v>926</v>
      </c>
      <c r="B55" s="177"/>
      <c r="C55" s="177"/>
      <c r="D55" s="160" t="s">
        <v>65</v>
      </c>
      <c r="E55" s="89"/>
      <c r="F55" s="89"/>
      <c r="G55" s="89"/>
      <c r="H55" s="89"/>
      <c r="I55" s="182">
        <f aca="true" t="shared" si="38" ref="I55:Z55">SUM(I58)</f>
        <v>0</v>
      </c>
      <c r="J55" s="182">
        <f t="shared" si="38"/>
        <v>2200</v>
      </c>
      <c r="K55" s="182">
        <f t="shared" si="38"/>
        <v>2200</v>
      </c>
      <c r="L55" s="182">
        <f t="shared" si="38"/>
        <v>0</v>
      </c>
      <c r="M55" s="182">
        <f t="shared" si="38"/>
        <v>2200</v>
      </c>
      <c r="N55" s="182">
        <f t="shared" si="38"/>
        <v>0</v>
      </c>
      <c r="O55" s="182">
        <f t="shared" si="38"/>
        <v>2200</v>
      </c>
      <c r="P55" s="182">
        <f t="shared" si="38"/>
        <v>20000</v>
      </c>
      <c r="Q55" s="182">
        <f t="shared" si="38"/>
        <v>22200</v>
      </c>
      <c r="R55" s="182">
        <f t="shared" si="38"/>
        <v>0</v>
      </c>
      <c r="S55" s="182">
        <f t="shared" si="38"/>
        <v>22200</v>
      </c>
      <c r="T55" s="182">
        <f t="shared" si="38"/>
        <v>0</v>
      </c>
      <c r="U55" s="182">
        <f t="shared" si="38"/>
        <v>22200</v>
      </c>
      <c r="V55" s="182">
        <f t="shared" si="38"/>
        <v>0</v>
      </c>
      <c r="W55" s="182">
        <f t="shared" si="38"/>
        <v>22200</v>
      </c>
      <c r="X55" s="182">
        <f t="shared" si="38"/>
        <v>0</v>
      </c>
      <c r="Y55" s="182">
        <f t="shared" si="38"/>
        <v>22200</v>
      </c>
      <c r="Z55" s="182">
        <f t="shared" si="38"/>
        <v>0</v>
      </c>
      <c r="AA55" s="182">
        <f>SUM(AA58,AA61)</f>
        <v>22200</v>
      </c>
      <c r="AB55" s="182">
        <f>SUM(AB58,AB61)</f>
        <v>0</v>
      </c>
      <c r="AC55" s="182">
        <f>SUM(AC58,AC61,AC56)</f>
        <v>22200</v>
      </c>
      <c r="AD55" s="182">
        <f>SUM(AD58,AD61,AD56)</f>
        <v>333000</v>
      </c>
      <c r="AE55" s="182">
        <f>SUM(AE58,AE61,AE56)</f>
        <v>355200</v>
      </c>
      <c r="AF55" s="182">
        <f>SUM(AF58,AF61,AF56)</f>
        <v>0</v>
      </c>
      <c r="AG55" s="182">
        <f>SUM(AG58,AG61,AG56)</f>
        <v>355200</v>
      </c>
    </row>
    <row r="56" spans="1:33" s="122" customFormat="1" ht="24" customHeight="1">
      <c r="A56" s="124"/>
      <c r="B56" s="124">
        <v>92601</v>
      </c>
      <c r="C56" s="124"/>
      <c r="D56" s="37" t="s">
        <v>233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>
        <f>SUM(AC57)</f>
        <v>0</v>
      </c>
      <c r="AD56" s="255">
        <f>SUM(AD57)</f>
        <v>333000</v>
      </c>
      <c r="AE56" s="255">
        <f>SUM(AE57)</f>
        <v>333000</v>
      </c>
      <c r="AF56" s="255">
        <f>SUM(AF57)</f>
        <v>0</v>
      </c>
      <c r="AG56" s="255">
        <f>SUM(AG57)</f>
        <v>333000</v>
      </c>
    </row>
    <row r="57" spans="1:33" s="122" customFormat="1" ht="63" customHeight="1">
      <c r="A57" s="124"/>
      <c r="B57" s="124"/>
      <c r="C57" s="124">
        <v>6330</v>
      </c>
      <c r="D57" s="132" t="s">
        <v>490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>
        <v>0</v>
      </c>
      <c r="AD57" s="255">
        <v>333000</v>
      </c>
      <c r="AE57" s="255">
        <f>SUM(AC57:AD57)</f>
        <v>333000</v>
      </c>
      <c r="AF57" s="255"/>
      <c r="AG57" s="255">
        <f>SUM(AE57:AF57)</f>
        <v>333000</v>
      </c>
    </row>
    <row r="58" spans="1:33" s="23" customFormat="1" ht="21.75" customHeight="1">
      <c r="A58" s="70"/>
      <c r="B58" s="70">
        <v>92605</v>
      </c>
      <c r="C58" s="70"/>
      <c r="D58" s="12" t="s">
        <v>66</v>
      </c>
      <c r="E58" s="89"/>
      <c r="F58" s="89"/>
      <c r="G58" s="89"/>
      <c r="H58" s="89"/>
      <c r="I58" s="89">
        <f aca="true" t="shared" si="39" ref="I58:N58">SUM(I59)</f>
        <v>0</v>
      </c>
      <c r="J58" s="89">
        <f t="shared" si="39"/>
        <v>2200</v>
      </c>
      <c r="K58" s="89">
        <f t="shared" si="39"/>
        <v>2200</v>
      </c>
      <c r="L58" s="89">
        <f t="shared" si="39"/>
        <v>0</v>
      </c>
      <c r="M58" s="89">
        <f t="shared" si="39"/>
        <v>2200</v>
      </c>
      <c r="N58" s="89">
        <f t="shared" si="39"/>
        <v>0</v>
      </c>
      <c r="O58" s="89">
        <f aca="true" t="shared" si="40" ref="O58:U58">SUM(O59:O60)</f>
        <v>2200</v>
      </c>
      <c r="P58" s="89">
        <f t="shared" si="40"/>
        <v>20000</v>
      </c>
      <c r="Q58" s="89">
        <f t="shared" si="40"/>
        <v>22200</v>
      </c>
      <c r="R58" s="89">
        <f t="shared" si="40"/>
        <v>0</v>
      </c>
      <c r="S58" s="89">
        <f t="shared" si="40"/>
        <v>22200</v>
      </c>
      <c r="T58" s="89">
        <f t="shared" si="40"/>
        <v>0</v>
      </c>
      <c r="U58" s="89">
        <f t="shared" si="40"/>
        <v>22200</v>
      </c>
      <c r="V58" s="89">
        <f aca="true" t="shared" si="41" ref="V58:AA58">SUM(V59:V60)</f>
        <v>0</v>
      </c>
      <c r="W58" s="89">
        <f t="shared" si="41"/>
        <v>22200</v>
      </c>
      <c r="X58" s="89">
        <f t="shared" si="41"/>
        <v>0</v>
      </c>
      <c r="Y58" s="89">
        <f t="shared" si="41"/>
        <v>22200</v>
      </c>
      <c r="Z58" s="89">
        <f t="shared" si="41"/>
        <v>0</v>
      </c>
      <c r="AA58" s="89">
        <f t="shared" si="41"/>
        <v>22200</v>
      </c>
      <c r="AB58" s="89">
        <f aca="true" t="shared" si="42" ref="AB58:AG58">SUM(AB59:AB60)</f>
        <v>-20000</v>
      </c>
      <c r="AC58" s="89">
        <f t="shared" si="42"/>
        <v>2200</v>
      </c>
      <c r="AD58" s="89">
        <f t="shared" si="42"/>
        <v>0</v>
      </c>
      <c r="AE58" s="89">
        <f t="shared" si="42"/>
        <v>2200</v>
      </c>
      <c r="AF58" s="89">
        <f t="shared" si="42"/>
        <v>0</v>
      </c>
      <c r="AG58" s="89">
        <f t="shared" si="42"/>
        <v>2200</v>
      </c>
    </row>
    <row r="59" spans="1:33" s="23" customFormat="1" ht="53.25" customHeight="1">
      <c r="A59" s="70"/>
      <c r="B59" s="70"/>
      <c r="C59" s="70">
        <v>2320</v>
      </c>
      <c r="D59" s="12" t="s">
        <v>212</v>
      </c>
      <c r="E59" s="89"/>
      <c r="F59" s="89"/>
      <c r="G59" s="89"/>
      <c r="H59" s="89"/>
      <c r="I59" s="89">
        <v>0</v>
      </c>
      <c r="J59" s="89">
        <v>2200</v>
      </c>
      <c r="K59" s="89">
        <f>SUM(I59:J59)</f>
        <v>2200</v>
      </c>
      <c r="L59" s="89"/>
      <c r="M59" s="89">
        <f>SUM(K59:L59)</f>
        <v>2200</v>
      </c>
      <c r="N59" s="89"/>
      <c r="O59" s="89">
        <f>SUM(M59:N59)</f>
        <v>2200</v>
      </c>
      <c r="P59" s="89"/>
      <c r="Q59" s="89">
        <f>SUM(O59:P59)</f>
        <v>2200</v>
      </c>
      <c r="R59" s="89"/>
      <c r="S59" s="89">
        <f>SUM(Q59:R59)</f>
        <v>2200</v>
      </c>
      <c r="T59" s="89"/>
      <c r="U59" s="89">
        <f>SUM(S59:T59)</f>
        <v>2200</v>
      </c>
      <c r="V59" s="89"/>
      <c r="W59" s="89">
        <f>SUM(U59:V59)</f>
        <v>2200</v>
      </c>
      <c r="X59" s="89"/>
      <c r="Y59" s="89">
        <f>SUM(W59:X59)</f>
        <v>2200</v>
      </c>
      <c r="Z59" s="89"/>
      <c r="AA59" s="89">
        <f>SUM(Y59:Z59)</f>
        <v>2200</v>
      </c>
      <c r="AB59" s="89"/>
      <c r="AC59" s="89">
        <f>SUM(AA59:AB59)</f>
        <v>2200</v>
      </c>
      <c r="AD59" s="89"/>
      <c r="AE59" s="89">
        <f>SUM(AC59:AD59)</f>
        <v>2200</v>
      </c>
      <c r="AF59" s="89"/>
      <c r="AG59" s="89">
        <f>SUM(AE59:AF59)</f>
        <v>2200</v>
      </c>
    </row>
    <row r="60" spans="1:33" s="23" customFormat="1" ht="53.25" customHeight="1">
      <c r="A60" s="70"/>
      <c r="B60" s="70"/>
      <c r="C60" s="70">
        <v>2440</v>
      </c>
      <c r="D60" s="74" t="s">
        <v>386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>
        <v>0</v>
      </c>
      <c r="P60" s="89">
        <v>20000</v>
      </c>
      <c r="Q60" s="89">
        <f>SUM(O60:P60)</f>
        <v>20000</v>
      </c>
      <c r="R60" s="89"/>
      <c r="S60" s="89">
        <f>SUM(Q60:R60)</f>
        <v>20000</v>
      </c>
      <c r="T60" s="89"/>
      <c r="U60" s="89">
        <f>SUM(S60:T60)</f>
        <v>20000</v>
      </c>
      <c r="V60" s="89"/>
      <c r="W60" s="89">
        <f>SUM(U60:V60)</f>
        <v>20000</v>
      </c>
      <c r="X60" s="89"/>
      <c r="Y60" s="89">
        <f>SUM(W60:X60)</f>
        <v>20000</v>
      </c>
      <c r="Z60" s="89"/>
      <c r="AA60" s="89">
        <f>SUM(Y60:Z60)</f>
        <v>20000</v>
      </c>
      <c r="AB60" s="89">
        <v>-20000</v>
      </c>
      <c r="AC60" s="89">
        <f>SUM(AA60:AB60)</f>
        <v>0</v>
      </c>
      <c r="AD60" s="89"/>
      <c r="AE60" s="89">
        <f>SUM(AC60:AD60)</f>
        <v>0</v>
      </c>
      <c r="AF60" s="89"/>
      <c r="AG60" s="89">
        <f>SUM(AE60:AF60)</f>
        <v>0</v>
      </c>
    </row>
    <row r="61" spans="1:33" s="23" customFormat="1" ht="28.5" customHeight="1">
      <c r="A61" s="70"/>
      <c r="B61" s="70">
        <v>92695</v>
      </c>
      <c r="C61" s="70"/>
      <c r="D61" s="12" t="s">
        <v>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>
        <f aca="true" t="shared" si="43" ref="AA61:AG61">SUM(AA62)</f>
        <v>0</v>
      </c>
      <c r="AB61" s="89">
        <f t="shared" si="43"/>
        <v>20000</v>
      </c>
      <c r="AC61" s="89">
        <f t="shared" si="43"/>
        <v>20000</v>
      </c>
      <c r="AD61" s="89">
        <f t="shared" si="43"/>
        <v>0</v>
      </c>
      <c r="AE61" s="89">
        <f t="shared" si="43"/>
        <v>20000</v>
      </c>
      <c r="AF61" s="89">
        <f t="shared" si="43"/>
        <v>0</v>
      </c>
      <c r="AG61" s="89">
        <f t="shared" si="43"/>
        <v>20000</v>
      </c>
    </row>
    <row r="62" spans="1:33" s="23" customFormat="1" ht="51.75" customHeight="1">
      <c r="A62" s="70"/>
      <c r="B62" s="70"/>
      <c r="C62" s="70">
        <v>2440</v>
      </c>
      <c r="D62" s="12" t="s">
        <v>386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>
        <v>0</v>
      </c>
      <c r="AB62" s="89">
        <v>20000</v>
      </c>
      <c r="AC62" s="89">
        <f>SUM(AA62:AB62)</f>
        <v>20000</v>
      </c>
      <c r="AD62" s="89"/>
      <c r="AE62" s="89">
        <f>SUM(AC62:AD62)</f>
        <v>20000</v>
      </c>
      <c r="AF62" s="89"/>
      <c r="AG62" s="89">
        <f>SUM(AE62:AF62)</f>
        <v>20000</v>
      </c>
    </row>
    <row r="63" spans="1:33" s="23" customFormat="1" ht="19.5" customHeight="1">
      <c r="A63" s="106"/>
      <c r="B63" s="107"/>
      <c r="C63" s="108"/>
      <c r="D63" s="94" t="s">
        <v>67</v>
      </c>
      <c r="E63" s="96">
        <f>SUM(E50,E32,E15,E10,E22,)</f>
        <v>8189630</v>
      </c>
      <c r="F63" s="96">
        <f>SUM(F50,F32,F15,F10,F22,)</f>
        <v>530000</v>
      </c>
      <c r="G63" s="96">
        <f>SUM(G50,G32,G15,G10,G22,)</f>
        <v>8719630</v>
      </c>
      <c r="H63" s="96">
        <f>SUM(H50,H32,H15,H10,H22,)</f>
        <v>-73</v>
      </c>
      <c r="I63" s="96">
        <f>SUM(I50,I32,I15,I10,I22,I55)</f>
        <v>8719557</v>
      </c>
      <c r="J63" s="96">
        <f>SUM(J50,J32,J15,J10,J22,J55)</f>
        <v>22004</v>
      </c>
      <c r="K63" s="96">
        <f>SUM(K50,K32,K15,K10,K22,K55,K47)</f>
        <v>8741561</v>
      </c>
      <c r="L63" s="96">
        <f>SUM(L50,L32,L15,L10,L22,L55,L47)</f>
        <v>279792</v>
      </c>
      <c r="M63" s="96">
        <f>SUM(M50,M32,M15,M10,M22,M55,M47)</f>
        <v>9021353</v>
      </c>
      <c r="N63" s="96">
        <f>SUM(N50,N32,N15,N10,N22,N55,N47)</f>
        <v>158567</v>
      </c>
      <c r="O63" s="96">
        <f aca="true" t="shared" si="44" ref="O63:U63">SUM(O50,O32,O15,O10,O22,O55,O47,O7)</f>
        <v>9179920</v>
      </c>
      <c r="P63" s="96">
        <f t="shared" si="44"/>
        <v>312460</v>
      </c>
      <c r="Q63" s="96">
        <f t="shared" si="44"/>
        <v>9492380</v>
      </c>
      <c r="R63" s="96">
        <f t="shared" si="44"/>
        <v>21375</v>
      </c>
      <c r="S63" s="96">
        <f t="shared" si="44"/>
        <v>9513755</v>
      </c>
      <c r="T63" s="96">
        <f t="shared" si="44"/>
        <v>11000</v>
      </c>
      <c r="U63" s="96">
        <f t="shared" si="44"/>
        <v>9524755</v>
      </c>
      <c r="V63" s="96">
        <f aca="true" t="shared" si="45" ref="V63:AA63">SUM(V50,V32,V15,V10,V22,V55,V47,V7)</f>
        <v>109494</v>
      </c>
      <c r="W63" s="96">
        <f t="shared" si="45"/>
        <v>9634249</v>
      </c>
      <c r="X63" s="96">
        <f t="shared" si="45"/>
        <v>92694</v>
      </c>
      <c r="Y63" s="96">
        <f t="shared" si="45"/>
        <v>9726943</v>
      </c>
      <c r="Z63" s="96">
        <f t="shared" si="45"/>
        <v>535418</v>
      </c>
      <c r="AA63" s="96">
        <f t="shared" si="45"/>
        <v>10262361</v>
      </c>
      <c r="AB63" s="96">
        <f aca="true" t="shared" si="46" ref="AB63:AG63">SUM(AB50,AB32,AB15,AB10,AB22,AB55,AB47,AB7)</f>
        <v>2134</v>
      </c>
      <c r="AC63" s="96">
        <f t="shared" si="46"/>
        <v>10264495</v>
      </c>
      <c r="AD63" s="96">
        <f t="shared" si="46"/>
        <v>695841</v>
      </c>
      <c r="AE63" s="96">
        <f t="shared" si="46"/>
        <v>10960336</v>
      </c>
      <c r="AF63" s="96">
        <f t="shared" si="46"/>
        <v>614781</v>
      </c>
      <c r="AG63" s="96">
        <f t="shared" si="46"/>
        <v>11575117</v>
      </c>
    </row>
    <row r="64" spans="1:3" ht="12.75">
      <c r="A64" s="53"/>
      <c r="B64" s="53"/>
      <c r="C64" s="53"/>
    </row>
    <row r="66" spans="30:32" ht="12.75">
      <c r="AD66" s="24"/>
      <c r="AF66" s="24"/>
    </row>
    <row r="67" spans="5:33" ht="12.75">
      <c r="E67" s="98"/>
      <c r="F67" s="98"/>
      <c r="G67" s="98"/>
      <c r="H67" s="98"/>
      <c r="I67" s="98"/>
      <c r="J67" s="24"/>
      <c r="K67" s="98"/>
      <c r="L67" s="24"/>
      <c r="M67" s="98"/>
      <c r="N67" s="24"/>
      <c r="O67" s="98"/>
      <c r="P67" s="24"/>
      <c r="Q67" s="98"/>
      <c r="R67" s="24"/>
      <c r="S67" s="98"/>
      <c r="T67" s="24"/>
      <c r="U67" s="98"/>
      <c r="V67" s="24"/>
      <c r="W67" s="98"/>
      <c r="X67" s="24"/>
      <c r="Y67" s="98"/>
      <c r="Z67" s="24"/>
      <c r="AA67" s="98"/>
      <c r="AB67" s="24"/>
      <c r="AC67" s="98"/>
      <c r="AD67" s="24"/>
      <c r="AE67" s="98"/>
      <c r="AF67" s="24"/>
      <c r="AG67" s="98"/>
    </row>
    <row r="68" spans="10:32" ht="12.75">
      <c r="J68" s="24"/>
      <c r="L68" s="24"/>
      <c r="N68" s="24"/>
      <c r="P68" s="24"/>
      <c r="R68" s="24"/>
      <c r="T68" s="24"/>
      <c r="V68" s="24"/>
      <c r="X68" s="24"/>
      <c r="Z68" s="24"/>
      <c r="AB68" s="24"/>
      <c r="AD68" s="24"/>
      <c r="AF68" s="24"/>
    </row>
    <row r="69" spans="10:32" ht="12.75">
      <c r="J69" s="24"/>
      <c r="L69" s="24"/>
      <c r="N69" s="24"/>
      <c r="P69" s="24"/>
      <c r="R69" s="24"/>
      <c r="T69" s="24"/>
      <c r="V69" s="24"/>
      <c r="X69" s="24"/>
      <c r="Z69" s="24"/>
      <c r="AB69" s="24"/>
      <c r="AD69" s="24"/>
      <c r="AF69" s="24"/>
    </row>
    <row r="70" spans="10:32" ht="12.75">
      <c r="J70" s="190"/>
      <c r="L70" s="190"/>
      <c r="N70" s="190"/>
      <c r="P70" s="190"/>
      <c r="R70" s="190"/>
      <c r="T70" s="190"/>
      <c r="V70" s="190"/>
      <c r="X70" s="190"/>
      <c r="Z70" s="190"/>
      <c r="AB70" s="190"/>
      <c r="AD70" s="24"/>
      <c r="AF70" s="24"/>
    </row>
    <row r="71" spans="10:32" ht="12.75">
      <c r="J71" s="24"/>
      <c r="L71" s="24"/>
      <c r="N71" s="24"/>
      <c r="P71" s="24"/>
      <c r="R71" s="24"/>
      <c r="T71" s="24"/>
      <c r="V71" s="24"/>
      <c r="X71" s="24"/>
      <c r="Z71" s="24"/>
      <c r="AB71" s="24"/>
      <c r="AD71" s="24"/>
      <c r="AF71" s="235"/>
    </row>
    <row r="72" spans="10:32" ht="12.75">
      <c r="J72" s="24"/>
      <c r="L72" s="24"/>
      <c r="N72" s="24"/>
      <c r="P72" s="24"/>
      <c r="R72" s="24"/>
      <c r="T72" s="24"/>
      <c r="V72" s="24"/>
      <c r="X72" s="24"/>
      <c r="Z72" s="24"/>
      <c r="AB72" s="24"/>
      <c r="AD72" s="24"/>
      <c r="AF72" s="24"/>
    </row>
    <row r="73" spans="30:32" ht="12.75">
      <c r="AD73" s="24"/>
      <c r="AF73" s="24"/>
    </row>
    <row r="74" spans="30:32" ht="12.75">
      <c r="AD74" s="235"/>
      <c r="AF74" s="235"/>
    </row>
  </sheetData>
  <sheetProtection/>
  <mergeCells count="1">
    <mergeCell ref="A5:AG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1"/>
  <sheetViews>
    <sheetView zoomScalePageLayoutView="0" workbookViewId="0" topLeftCell="A97">
      <selection activeCell="AG8" sqref="AG8"/>
    </sheetView>
  </sheetViews>
  <sheetFormatPr defaultColWidth="9.00390625" defaultRowHeight="12.75"/>
  <cols>
    <col min="1" max="1" width="4.625" style="6" customWidth="1"/>
    <col min="2" max="2" width="7.25390625" style="6" bestFit="1" customWidth="1"/>
    <col min="3" max="3" width="4.375" style="6" bestFit="1" customWidth="1"/>
    <col min="4" max="4" width="37.125" style="6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43.37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40.00390625" style="0" hidden="1" customWidth="1"/>
    <col min="13" max="13" width="8.875" style="0" hidden="1" customWidth="1"/>
    <col min="14" max="14" width="42.25390625" style="0" hidden="1" customWidth="1"/>
    <col min="15" max="15" width="0.2421875" style="0" hidden="1" customWidth="1"/>
    <col min="16" max="16" width="13.00390625" style="0" hidden="1" customWidth="1"/>
    <col min="17" max="17" width="14.625" style="0" hidden="1" customWidth="1"/>
    <col min="18" max="18" width="42.25390625" style="0" hidden="1" customWidth="1"/>
    <col min="19" max="19" width="7.875" style="0" hidden="1" customWidth="1"/>
    <col min="20" max="20" width="44.875" style="0" hidden="1" customWidth="1"/>
    <col min="21" max="21" width="10.375" style="0" hidden="1" customWidth="1"/>
    <col min="22" max="22" width="0.12890625" style="0" hidden="1" customWidth="1"/>
    <col min="23" max="23" width="14.125" style="0" hidden="1" customWidth="1"/>
    <col min="24" max="24" width="14.625" style="0" hidden="1" customWidth="1"/>
    <col min="25" max="25" width="9.00390625" style="0" hidden="1" customWidth="1"/>
    <col min="26" max="26" width="0.37109375" style="0" hidden="1" customWidth="1"/>
    <col min="27" max="27" width="14.125" style="0" hidden="1" customWidth="1"/>
    <col min="28" max="28" width="14.625" style="0" customWidth="1"/>
    <col min="29" max="29" width="14.125" style="0" customWidth="1"/>
    <col min="30" max="30" width="14.625" style="0" customWidth="1"/>
  </cols>
  <sheetData>
    <row r="1" spans="5:30" ht="12.75">
      <c r="E1" s="54"/>
      <c r="F1" s="54"/>
      <c r="G1" s="54"/>
      <c r="H1" s="54" t="s">
        <v>349</v>
      </c>
      <c r="I1" s="54"/>
      <c r="J1" s="54" t="s">
        <v>371</v>
      </c>
      <c r="K1" s="54"/>
      <c r="L1" s="54" t="s">
        <v>381</v>
      </c>
      <c r="M1" s="54"/>
      <c r="N1" s="54" t="s">
        <v>394</v>
      </c>
      <c r="O1" s="54"/>
      <c r="P1" s="54" t="s">
        <v>406</v>
      </c>
      <c r="Q1" s="54"/>
      <c r="R1" s="54" t="s">
        <v>424</v>
      </c>
      <c r="S1" s="54"/>
      <c r="T1" s="54" t="s">
        <v>447</v>
      </c>
      <c r="U1" s="54"/>
      <c r="V1" s="54" t="s">
        <v>455</v>
      </c>
      <c r="W1" s="54"/>
      <c r="X1" s="54" t="s">
        <v>461</v>
      </c>
      <c r="Y1" s="54"/>
      <c r="Z1" s="54" t="s">
        <v>486</v>
      </c>
      <c r="AA1" s="54"/>
      <c r="AB1" s="54" t="s">
        <v>497</v>
      </c>
      <c r="AC1" s="54"/>
      <c r="AD1" s="54"/>
    </row>
    <row r="2" spans="5:30" ht="12.75">
      <c r="E2" s="54"/>
      <c r="F2" s="54"/>
      <c r="G2" s="54"/>
      <c r="H2" s="54" t="s">
        <v>348</v>
      </c>
      <c r="I2" s="54"/>
      <c r="J2" s="54" t="s">
        <v>370</v>
      </c>
      <c r="K2" s="54"/>
      <c r="L2" s="54" t="s">
        <v>378</v>
      </c>
      <c r="M2" s="54"/>
      <c r="N2" s="54" t="s">
        <v>388</v>
      </c>
      <c r="O2" s="54"/>
      <c r="P2" s="54" t="s">
        <v>404</v>
      </c>
      <c r="Q2" s="54"/>
      <c r="R2" s="54" t="s">
        <v>421</v>
      </c>
      <c r="S2" s="54"/>
      <c r="T2" s="54" t="s">
        <v>443</v>
      </c>
      <c r="U2" s="54"/>
      <c r="V2" s="54" t="s">
        <v>452</v>
      </c>
      <c r="W2" s="54"/>
      <c r="X2" s="54" t="s">
        <v>459</v>
      </c>
      <c r="Y2" s="54"/>
      <c r="Z2" s="54" t="s">
        <v>482</v>
      </c>
      <c r="AA2" s="54"/>
      <c r="AB2" s="54" t="s">
        <v>493</v>
      </c>
      <c r="AC2" s="54"/>
      <c r="AD2" s="54"/>
    </row>
    <row r="3" spans="5:30" ht="12.75">
      <c r="E3" s="54"/>
      <c r="F3" s="54"/>
      <c r="G3" s="54"/>
      <c r="H3" s="54" t="s">
        <v>333</v>
      </c>
      <c r="I3" s="54"/>
      <c r="J3" s="54" t="s">
        <v>349</v>
      </c>
      <c r="K3" s="54"/>
      <c r="L3" s="54" t="s">
        <v>371</v>
      </c>
      <c r="M3" s="54"/>
      <c r="N3" s="54" t="s">
        <v>381</v>
      </c>
      <c r="O3" s="54"/>
      <c r="P3" s="54" t="s">
        <v>394</v>
      </c>
      <c r="Q3" s="54"/>
      <c r="R3" s="54" t="s">
        <v>406</v>
      </c>
      <c r="S3" s="54"/>
      <c r="T3" s="54" t="s">
        <v>424</v>
      </c>
      <c r="U3" s="54"/>
      <c r="V3" s="54" t="s">
        <v>447</v>
      </c>
      <c r="W3" s="54"/>
      <c r="X3" s="54" t="s">
        <v>455</v>
      </c>
      <c r="Y3" s="54"/>
      <c r="Z3" s="54" t="s">
        <v>461</v>
      </c>
      <c r="AA3" s="54"/>
      <c r="AB3" s="54" t="s">
        <v>486</v>
      </c>
      <c r="AC3" s="54"/>
      <c r="AD3" s="54"/>
    </row>
    <row r="4" spans="5:30" ht="12.75">
      <c r="E4" s="54"/>
      <c r="F4" s="54"/>
      <c r="G4" s="54"/>
      <c r="H4" s="54" t="s">
        <v>332</v>
      </c>
      <c r="I4" s="54"/>
      <c r="J4" s="54" t="s">
        <v>357</v>
      </c>
      <c r="K4" s="54"/>
      <c r="L4" s="54" t="s">
        <v>374</v>
      </c>
      <c r="M4" s="54"/>
      <c r="N4" s="54" t="s">
        <v>384</v>
      </c>
      <c r="O4" s="54"/>
      <c r="P4" s="54" t="s">
        <v>395</v>
      </c>
      <c r="Q4" s="54"/>
      <c r="R4" s="54" t="s">
        <v>411</v>
      </c>
      <c r="S4" s="54"/>
      <c r="T4" s="54" t="s">
        <v>437</v>
      </c>
      <c r="U4" s="54"/>
      <c r="V4" s="54" t="s">
        <v>449</v>
      </c>
      <c r="W4" s="54"/>
      <c r="X4" s="54" t="s">
        <v>458</v>
      </c>
      <c r="Y4" s="54"/>
      <c r="Z4" s="54" t="s">
        <v>463</v>
      </c>
      <c r="AA4" s="54"/>
      <c r="AB4" s="54" t="s">
        <v>491</v>
      </c>
      <c r="AC4" s="54"/>
      <c r="AD4" s="54"/>
    </row>
    <row r="5" spans="1:4" ht="17.25" customHeight="1">
      <c r="A5" s="264" t="s">
        <v>276</v>
      </c>
      <c r="B5" s="264"/>
      <c r="C5" s="264"/>
      <c r="D5" s="264"/>
    </row>
    <row r="6" spans="1:30" s="6" customFormat="1" ht="24.75" customHeight="1">
      <c r="A6" s="4" t="s">
        <v>0</v>
      </c>
      <c r="B6" s="3" t="s">
        <v>1</v>
      </c>
      <c r="C6" s="19" t="s">
        <v>2</v>
      </c>
      <c r="D6" s="3" t="s">
        <v>3</v>
      </c>
      <c r="E6" s="101" t="s">
        <v>141</v>
      </c>
      <c r="F6" s="101" t="s">
        <v>194</v>
      </c>
      <c r="G6" s="101" t="s">
        <v>193</v>
      </c>
      <c r="H6" s="101" t="s">
        <v>141</v>
      </c>
      <c r="I6" s="101" t="s">
        <v>302</v>
      </c>
      <c r="J6" s="101" t="s">
        <v>142</v>
      </c>
      <c r="K6" s="101" t="s">
        <v>302</v>
      </c>
      <c r="L6" s="101" t="s">
        <v>142</v>
      </c>
      <c r="M6" s="101" t="s">
        <v>302</v>
      </c>
      <c r="N6" s="101" t="s">
        <v>142</v>
      </c>
      <c r="O6" s="101" t="s">
        <v>302</v>
      </c>
      <c r="P6" s="101" t="s">
        <v>142</v>
      </c>
      <c r="Q6" s="101" t="s">
        <v>302</v>
      </c>
      <c r="R6" s="101" t="s">
        <v>142</v>
      </c>
      <c r="S6" s="101" t="s">
        <v>302</v>
      </c>
      <c r="T6" s="101" t="s">
        <v>142</v>
      </c>
      <c r="U6" s="101" t="s">
        <v>302</v>
      </c>
      <c r="V6" s="101" t="s">
        <v>142</v>
      </c>
      <c r="W6" s="101" t="s">
        <v>302</v>
      </c>
      <c r="X6" s="101" t="s">
        <v>142</v>
      </c>
      <c r="Y6" s="101" t="s">
        <v>302</v>
      </c>
      <c r="Z6" s="101" t="s">
        <v>142</v>
      </c>
      <c r="AA6" s="101" t="s">
        <v>302</v>
      </c>
      <c r="AB6" s="101" t="s">
        <v>142</v>
      </c>
      <c r="AC6" s="101" t="s">
        <v>302</v>
      </c>
      <c r="AD6" s="101" t="s">
        <v>313</v>
      </c>
    </row>
    <row r="7" spans="1:30" s="6" customFormat="1" ht="27" customHeight="1">
      <c r="A7" s="97" t="s">
        <v>4</v>
      </c>
      <c r="B7" s="3"/>
      <c r="C7" s="19"/>
      <c r="D7" s="35" t="s">
        <v>5</v>
      </c>
      <c r="E7" s="101"/>
      <c r="F7" s="101"/>
      <c r="G7" s="101"/>
      <c r="H7" s="101"/>
      <c r="I7" s="101"/>
      <c r="J7" s="206">
        <f>SUM(J8)</f>
        <v>0</v>
      </c>
      <c r="K7" s="206">
        <f aca="true" t="shared" si="0" ref="K7:AC9">SUM(K8)</f>
        <v>0</v>
      </c>
      <c r="L7" s="206">
        <f t="shared" si="0"/>
        <v>0</v>
      </c>
      <c r="M7" s="206">
        <f t="shared" si="0"/>
        <v>0</v>
      </c>
      <c r="N7" s="206">
        <f t="shared" si="0"/>
        <v>0</v>
      </c>
      <c r="O7" s="206">
        <f t="shared" si="0"/>
        <v>734408</v>
      </c>
      <c r="P7" s="206">
        <f t="shared" si="0"/>
        <v>734408</v>
      </c>
      <c r="Q7" s="206">
        <f t="shared" si="0"/>
        <v>-250000</v>
      </c>
      <c r="R7" s="206">
        <f t="shared" si="0"/>
        <v>484408</v>
      </c>
      <c r="S7" s="206">
        <f t="shared" si="0"/>
        <v>0</v>
      </c>
      <c r="T7" s="206">
        <f t="shared" si="0"/>
        <v>484408</v>
      </c>
      <c r="U7" s="206">
        <f t="shared" si="0"/>
        <v>0</v>
      </c>
      <c r="V7" s="206">
        <f t="shared" si="0"/>
        <v>484408</v>
      </c>
      <c r="W7" s="206">
        <f t="shared" si="0"/>
        <v>0</v>
      </c>
      <c r="X7" s="206">
        <f t="shared" si="0"/>
        <v>484408</v>
      </c>
      <c r="Y7" s="206">
        <f t="shared" si="0"/>
        <v>0</v>
      </c>
      <c r="Z7" s="206">
        <f t="shared" si="0"/>
        <v>484408</v>
      </c>
      <c r="AA7" s="206">
        <f t="shared" si="0"/>
        <v>0</v>
      </c>
      <c r="AB7" s="206">
        <f aca="true" t="shared" si="1" ref="AA7:AD9">SUM(AB8)</f>
        <v>484408</v>
      </c>
      <c r="AC7" s="206">
        <f t="shared" si="0"/>
        <v>0</v>
      </c>
      <c r="AD7" s="206">
        <f t="shared" si="1"/>
        <v>484408</v>
      </c>
    </row>
    <row r="8" spans="1:30" s="122" customFormat="1" ht="25.5" customHeight="1">
      <c r="A8" s="203"/>
      <c r="B8" s="204" t="s">
        <v>259</v>
      </c>
      <c r="C8" s="135"/>
      <c r="D8" s="37" t="s">
        <v>273</v>
      </c>
      <c r="E8" s="142"/>
      <c r="F8" s="142"/>
      <c r="G8" s="142"/>
      <c r="H8" s="142"/>
      <c r="I8" s="142"/>
      <c r="J8" s="205">
        <f>SUM(J9)</f>
        <v>0</v>
      </c>
      <c r="K8" s="205">
        <f t="shared" si="0"/>
        <v>0</v>
      </c>
      <c r="L8" s="205">
        <f t="shared" si="0"/>
        <v>0</v>
      </c>
      <c r="M8" s="205">
        <f t="shared" si="0"/>
        <v>0</v>
      </c>
      <c r="N8" s="205">
        <f t="shared" si="0"/>
        <v>0</v>
      </c>
      <c r="O8" s="205">
        <f t="shared" si="0"/>
        <v>734408</v>
      </c>
      <c r="P8" s="205">
        <f t="shared" si="0"/>
        <v>734408</v>
      </c>
      <c r="Q8" s="205">
        <f t="shared" si="0"/>
        <v>-250000</v>
      </c>
      <c r="R8" s="205">
        <f t="shared" si="0"/>
        <v>484408</v>
      </c>
      <c r="S8" s="205">
        <f t="shared" si="0"/>
        <v>0</v>
      </c>
      <c r="T8" s="205">
        <f t="shared" si="0"/>
        <v>484408</v>
      </c>
      <c r="U8" s="205">
        <f t="shared" si="0"/>
        <v>0</v>
      </c>
      <c r="V8" s="205">
        <f t="shared" si="0"/>
        <v>484408</v>
      </c>
      <c r="W8" s="205">
        <f t="shared" si="0"/>
        <v>0</v>
      </c>
      <c r="X8" s="205">
        <f t="shared" si="0"/>
        <v>484408</v>
      </c>
      <c r="Y8" s="205">
        <f t="shared" si="0"/>
        <v>0</v>
      </c>
      <c r="Z8" s="205">
        <f t="shared" si="0"/>
        <v>484408</v>
      </c>
      <c r="AA8" s="205">
        <f t="shared" si="1"/>
        <v>0</v>
      </c>
      <c r="AB8" s="205">
        <f t="shared" si="1"/>
        <v>484408</v>
      </c>
      <c r="AC8" s="205">
        <f t="shared" si="1"/>
        <v>0</v>
      </c>
      <c r="AD8" s="205">
        <f t="shared" si="1"/>
        <v>484408</v>
      </c>
    </row>
    <row r="9" spans="1:30" s="122" customFormat="1" ht="24" customHeight="1">
      <c r="A9" s="203"/>
      <c r="B9" s="130"/>
      <c r="C9" s="135">
        <v>6050</v>
      </c>
      <c r="D9" s="12" t="s">
        <v>72</v>
      </c>
      <c r="E9" s="142"/>
      <c r="F9" s="142"/>
      <c r="G9" s="142"/>
      <c r="H9" s="142"/>
      <c r="I9" s="142"/>
      <c r="J9" s="205">
        <f>SUM(J10)</f>
        <v>0</v>
      </c>
      <c r="K9" s="205">
        <f t="shared" si="0"/>
        <v>0</v>
      </c>
      <c r="L9" s="205">
        <f t="shared" si="0"/>
        <v>0</v>
      </c>
      <c r="M9" s="205">
        <f t="shared" si="0"/>
        <v>0</v>
      </c>
      <c r="N9" s="205">
        <f t="shared" si="0"/>
        <v>0</v>
      </c>
      <c r="O9" s="205">
        <f t="shared" si="0"/>
        <v>734408</v>
      </c>
      <c r="P9" s="205">
        <f t="shared" si="0"/>
        <v>734408</v>
      </c>
      <c r="Q9" s="205">
        <f t="shared" si="0"/>
        <v>-250000</v>
      </c>
      <c r="R9" s="205">
        <f t="shared" si="0"/>
        <v>484408</v>
      </c>
      <c r="S9" s="205">
        <f t="shared" si="0"/>
        <v>0</v>
      </c>
      <c r="T9" s="205">
        <f t="shared" si="0"/>
        <v>484408</v>
      </c>
      <c r="U9" s="205">
        <f t="shared" si="0"/>
        <v>0</v>
      </c>
      <c r="V9" s="205">
        <f t="shared" si="0"/>
        <v>484408</v>
      </c>
      <c r="W9" s="205">
        <f t="shared" si="0"/>
        <v>0</v>
      </c>
      <c r="X9" s="205">
        <f t="shared" si="0"/>
        <v>484408</v>
      </c>
      <c r="Y9" s="205">
        <f t="shared" si="0"/>
        <v>0</v>
      </c>
      <c r="Z9" s="205">
        <f t="shared" si="0"/>
        <v>484408</v>
      </c>
      <c r="AA9" s="205">
        <f t="shared" si="1"/>
        <v>0</v>
      </c>
      <c r="AB9" s="205">
        <f t="shared" si="1"/>
        <v>484408</v>
      </c>
      <c r="AC9" s="205">
        <f t="shared" si="1"/>
        <v>0</v>
      </c>
      <c r="AD9" s="205">
        <f t="shared" si="1"/>
        <v>484408</v>
      </c>
    </row>
    <row r="10" spans="1:30" s="139" customFormat="1" ht="26.25" customHeight="1">
      <c r="A10" s="165"/>
      <c r="B10" s="137"/>
      <c r="C10" s="138"/>
      <c r="D10" s="128" t="s">
        <v>368</v>
      </c>
      <c r="E10" s="207"/>
      <c r="F10" s="207"/>
      <c r="G10" s="207"/>
      <c r="H10" s="207"/>
      <c r="I10" s="207"/>
      <c r="J10" s="208">
        <v>0</v>
      </c>
      <c r="K10" s="208"/>
      <c r="L10" s="208">
        <f>SUM(J10:K10)</f>
        <v>0</v>
      </c>
      <c r="M10" s="208"/>
      <c r="N10" s="208">
        <f>SUM(L10:M10)</f>
        <v>0</v>
      </c>
      <c r="O10" s="208">
        <v>734408</v>
      </c>
      <c r="P10" s="208">
        <f>SUM(N10:O10)</f>
        <v>734408</v>
      </c>
      <c r="Q10" s="208">
        <v>-250000</v>
      </c>
      <c r="R10" s="208">
        <f>SUM(P10:Q10)</f>
        <v>484408</v>
      </c>
      <c r="S10" s="208"/>
      <c r="T10" s="208">
        <f>SUM(R10:S10)</f>
        <v>484408</v>
      </c>
      <c r="U10" s="208"/>
      <c r="V10" s="208">
        <f>SUM(T10:U10)</f>
        <v>484408</v>
      </c>
      <c r="W10" s="208"/>
      <c r="X10" s="208">
        <f>SUM(V10:W10)</f>
        <v>484408</v>
      </c>
      <c r="Y10" s="208"/>
      <c r="Z10" s="208">
        <f>SUM(X10:Y10)</f>
        <v>484408</v>
      </c>
      <c r="AA10" s="208"/>
      <c r="AB10" s="208">
        <f>SUM(Z10:AA10)</f>
        <v>484408</v>
      </c>
      <c r="AC10" s="208"/>
      <c r="AD10" s="208">
        <f>SUM(AB10:AC10)</f>
        <v>484408</v>
      </c>
    </row>
    <row r="11" spans="1:30" s="5" customFormat="1" ht="21" customHeight="1">
      <c r="A11" s="28" t="s">
        <v>73</v>
      </c>
      <c r="B11" s="3"/>
      <c r="C11" s="19"/>
      <c r="D11" s="18" t="s">
        <v>74</v>
      </c>
      <c r="E11" s="38">
        <f>E18</f>
        <v>469300</v>
      </c>
      <c r="F11" s="38">
        <f>F18</f>
        <v>-100000</v>
      </c>
      <c r="G11" s="38">
        <f>G18</f>
        <v>1540000</v>
      </c>
      <c r="H11" s="38">
        <f>SUM(E11:G11)</f>
        <v>1909300</v>
      </c>
      <c r="I11" s="38">
        <f>SUM(I18,I12)</f>
        <v>100000</v>
      </c>
      <c r="J11" s="38">
        <f>SUM(H11:I11)</f>
        <v>2009300</v>
      </c>
      <c r="K11" s="38">
        <f>SUM(K18,K12)</f>
        <v>127220</v>
      </c>
      <c r="L11" s="38">
        <f>SUM(J11:K11)</f>
        <v>2136520</v>
      </c>
      <c r="M11" s="38">
        <f>SUM(M18,M12)</f>
        <v>0</v>
      </c>
      <c r="N11" s="38">
        <f>SUM(L11:M11)</f>
        <v>2136520</v>
      </c>
      <c r="O11" s="38">
        <f>SUM(O18,O12)</f>
        <v>-500000</v>
      </c>
      <c r="P11" s="38">
        <f>SUM(N11:O11)</f>
        <v>1636520</v>
      </c>
      <c r="Q11" s="38">
        <f>SUM(Q18,Q12)</f>
        <v>297600</v>
      </c>
      <c r="R11" s="38">
        <f>SUM(P11:Q11)</f>
        <v>1934120</v>
      </c>
      <c r="S11" s="38">
        <f>SUM(S18,S12)</f>
        <v>0</v>
      </c>
      <c r="T11" s="38">
        <f>SUM(R11:S11)</f>
        <v>1934120</v>
      </c>
      <c r="U11" s="38">
        <f>SUM(U18,U12)</f>
        <v>-264000</v>
      </c>
      <c r="V11" s="38">
        <f>SUM(T11:U11)</f>
        <v>1670120</v>
      </c>
      <c r="W11" s="38">
        <f>SUM(W18,W12)</f>
        <v>-217241</v>
      </c>
      <c r="X11" s="38">
        <f>SUM(V11:W11)</f>
        <v>1452879</v>
      </c>
      <c r="Y11" s="38">
        <f>SUM(Y18,Y12)</f>
        <v>0</v>
      </c>
      <c r="Z11" s="38">
        <f>SUM(X11:Y11)</f>
        <v>1452879</v>
      </c>
      <c r="AA11" s="38">
        <f>SUM(AA18,AA12)</f>
        <v>-577780</v>
      </c>
      <c r="AB11" s="38">
        <f>SUM(Z11:AA11)</f>
        <v>875099</v>
      </c>
      <c r="AC11" s="38">
        <f>SUM(AC18,AC12)</f>
        <v>0</v>
      </c>
      <c r="AD11" s="38">
        <f>SUM(AB11:AC11)</f>
        <v>875099</v>
      </c>
    </row>
    <row r="12" spans="1:30" s="122" customFormat="1" ht="21" customHeight="1">
      <c r="A12" s="123"/>
      <c r="B12" s="130">
        <v>60014</v>
      </c>
      <c r="C12" s="135"/>
      <c r="D12" s="132" t="s">
        <v>339</v>
      </c>
      <c r="E12" s="164"/>
      <c r="F12" s="164"/>
      <c r="G12" s="164"/>
      <c r="H12" s="164">
        <f aca="true" t="shared" si="2" ref="H12:AD12">SUM(H13)</f>
        <v>0</v>
      </c>
      <c r="I12" s="164">
        <f t="shared" si="2"/>
        <v>100000</v>
      </c>
      <c r="J12" s="164">
        <f t="shared" si="2"/>
        <v>100000</v>
      </c>
      <c r="K12" s="164">
        <f t="shared" si="2"/>
        <v>127220</v>
      </c>
      <c r="L12" s="164">
        <f t="shared" si="2"/>
        <v>227220</v>
      </c>
      <c r="M12" s="164">
        <f t="shared" si="2"/>
        <v>0</v>
      </c>
      <c r="N12" s="164">
        <f t="shared" si="2"/>
        <v>227220</v>
      </c>
      <c r="O12" s="164">
        <f t="shared" si="2"/>
        <v>0</v>
      </c>
      <c r="P12" s="164">
        <f t="shared" si="2"/>
        <v>227220</v>
      </c>
      <c r="Q12" s="164">
        <f t="shared" si="2"/>
        <v>0</v>
      </c>
      <c r="R12" s="164">
        <f t="shared" si="2"/>
        <v>227220</v>
      </c>
      <c r="S12" s="164">
        <f t="shared" si="2"/>
        <v>0</v>
      </c>
      <c r="T12" s="164">
        <f t="shared" si="2"/>
        <v>227220</v>
      </c>
      <c r="U12" s="164">
        <f t="shared" si="2"/>
        <v>0</v>
      </c>
      <c r="V12" s="164">
        <f t="shared" si="2"/>
        <v>227220</v>
      </c>
      <c r="W12" s="164">
        <f t="shared" si="2"/>
        <v>-127220</v>
      </c>
      <c r="X12" s="164">
        <f t="shared" si="2"/>
        <v>100000</v>
      </c>
      <c r="Y12" s="164">
        <f t="shared" si="2"/>
        <v>0</v>
      </c>
      <c r="Z12" s="164">
        <f t="shared" si="2"/>
        <v>100000</v>
      </c>
      <c r="AA12" s="164">
        <f t="shared" si="2"/>
        <v>0</v>
      </c>
      <c r="AB12" s="164">
        <f t="shared" si="2"/>
        <v>100000</v>
      </c>
      <c r="AC12" s="164">
        <f t="shared" si="2"/>
        <v>0</v>
      </c>
      <c r="AD12" s="164">
        <f t="shared" si="2"/>
        <v>100000</v>
      </c>
    </row>
    <row r="13" spans="1:30" s="122" customFormat="1" ht="45">
      <c r="A13" s="123"/>
      <c r="B13" s="130"/>
      <c r="C13" s="135">
        <v>6300</v>
      </c>
      <c r="D13" s="132" t="s">
        <v>338</v>
      </c>
      <c r="E13" s="164"/>
      <c r="F13" s="164"/>
      <c r="G13" s="164"/>
      <c r="H13" s="164">
        <f>SUM(H15:H16)</f>
        <v>0</v>
      </c>
      <c r="I13" s="164">
        <f>SUM(I15:I16)</f>
        <v>100000</v>
      </c>
      <c r="J13" s="164">
        <f aca="true" t="shared" si="3" ref="J13:O13">SUM(J14:J16)</f>
        <v>100000</v>
      </c>
      <c r="K13" s="164">
        <f t="shared" si="3"/>
        <v>127220</v>
      </c>
      <c r="L13" s="164">
        <f t="shared" si="3"/>
        <v>227220</v>
      </c>
      <c r="M13" s="164">
        <f t="shared" si="3"/>
        <v>0</v>
      </c>
      <c r="N13" s="164">
        <f t="shared" si="3"/>
        <v>227220</v>
      </c>
      <c r="O13" s="164">
        <f t="shared" si="3"/>
        <v>0</v>
      </c>
      <c r="P13" s="164">
        <f aca="true" t="shared" si="4" ref="P13:V13">SUM(P14:P17)</f>
        <v>227220</v>
      </c>
      <c r="Q13" s="164">
        <f t="shared" si="4"/>
        <v>0</v>
      </c>
      <c r="R13" s="164">
        <f t="shared" si="4"/>
        <v>227220</v>
      </c>
      <c r="S13" s="164">
        <f t="shared" si="4"/>
        <v>0</v>
      </c>
      <c r="T13" s="164">
        <f t="shared" si="4"/>
        <v>227220</v>
      </c>
      <c r="U13" s="164">
        <f t="shared" si="4"/>
        <v>0</v>
      </c>
      <c r="V13" s="164">
        <f t="shared" si="4"/>
        <v>227220</v>
      </c>
      <c r="W13" s="164">
        <f aca="true" t="shared" si="5" ref="W13:AB13">SUM(W14:W17)</f>
        <v>-127220</v>
      </c>
      <c r="X13" s="164">
        <f t="shared" si="5"/>
        <v>100000</v>
      </c>
      <c r="Y13" s="164">
        <f t="shared" si="5"/>
        <v>0</v>
      </c>
      <c r="Z13" s="164">
        <f t="shared" si="5"/>
        <v>100000</v>
      </c>
      <c r="AA13" s="164">
        <f t="shared" si="5"/>
        <v>0</v>
      </c>
      <c r="AB13" s="164">
        <f t="shared" si="5"/>
        <v>100000</v>
      </c>
      <c r="AC13" s="164">
        <f>SUM(AC14:AC17)</f>
        <v>0</v>
      </c>
      <c r="AD13" s="164">
        <f>SUM(AD14:AD17)</f>
        <v>100000</v>
      </c>
    </row>
    <row r="14" spans="1:30" s="122" customFormat="1" ht="56.25">
      <c r="A14" s="123"/>
      <c r="B14" s="130"/>
      <c r="C14" s="135"/>
      <c r="D14" s="132" t="s">
        <v>367</v>
      </c>
      <c r="E14" s="164"/>
      <c r="F14" s="164"/>
      <c r="G14" s="164"/>
      <c r="H14" s="164"/>
      <c r="I14" s="164"/>
      <c r="J14" s="164">
        <v>0</v>
      </c>
      <c r="K14" s="164">
        <v>127220</v>
      </c>
      <c r="L14" s="166">
        <f aca="true" t="shared" si="6" ref="L14:L20">SUM(J14:K14)</f>
        <v>127220</v>
      </c>
      <c r="M14" s="164"/>
      <c r="N14" s="166">
        <f aca="true" t="shared" si="7" ref="N14:N20">SUM(L14:M14)</f>
        <v>127220</v>
      </c>
      <c r="O14" s="164"/>
      <c r="P14" s="166">
        <f aca="true" t="shared" si="8" ref="P14:P20">SUM(N14:O14)</f>
        <v>127220</v>
      </c>
      <c r="Q14" s="164"/>
      <c r="R14" s="166">
        <f aca="true" t="shared" si="9" ref="R14:R20">SUM(P14:Q14)</f>
        <v>127220</v>
      </c>
      <c r="S14" s="164"/>
      <c r="T14" s="166">
        <f aca="true" t="shared" si="10" ref="T14:T20">SUM(R14:S14)</f>
        <v>127220</v>
      </c>
      <c r="U14" s="164"/>
      <c r="V14" s="166">
        <f aca="true" t="shared" si="11" ref="V14:V20">SUM(T14:U14)</f>
        <v>127220</v>
      </c>
      <c r="W14" s="164">
        <v>-127220</v>
      </c>
      <c r="X14" s="166">
        <f>SUM(V14:W14)</f>
        <v>0</v>
      </c>
      <c r="Y14" s="164"/>
      <c r="Z14" s="166">
        <f>SUM(X14:Y14)</f>
        <v>0</v>
      </c>
      <c r="AA14" s="164"/>
      <c r="AB14" s="166">
        <f>SUM(Z14:AA14)</f>
        <v>0</v>
      </c>
      <c r="AC14" s="164"/>
      <c r="AD14" s="166">
        <f>SUM(AB14:AC14)</f>
        <v>0</v>
      </c>
    </row>
    <row r="15" spans="1:30" s="139" customFormat="1" ht="56.25">
      <c r="A15" s="136"/>
      <c r="B15" s="137"/>
      <c r="C15" s="138"/>
      <c r="D15" s="128" t="s">
        <v>427</v>
      </c>
      <c r="E15" s="166"/>
      <c r="F15" s="166"/>
      <c r="G15" s="166"/>
      <c r="H15" s="166">
        <v>0</v>
      </c>
      <c r="I15" s="166">
        <v>75000</v>
      </c>
      <c r="J15" s="166">
        <f>SUM(H15:I15)</f>
        <v>75000</v>
      </c>
      <c r="K15" s="166"/>
      <c r="L15" s="166">
        <f t="shared" si="6"/>
        <v>75000</v>
      </c>
      <c r="M15" s="166"/>
      <c r="N15" s="166">
        <f t="shared" si="7"/>
        <v>75000</v>
      </c>
      <c r="O15" s="166"/>
      <c r="P15" s="166">
        <f t="shared" si="8"/>
        <v>75000</v>
      </c>
      <c r="Q15" s="166">
        <v>-40500</v>
      </c>
      <c r="R15" s="166">
        <f t="shared" si="9"/>
        <v>34500</v>
      </c>
      <c r="S15" s="166"/>
      <c r="T15" s="166">
        <f t="shared" si="10"/>
        <v>34500</v>
      </c>
      <c r="U15" s="166"/>
      <c r="V15" s="166">
        <f t="shared" si="11"/>
        <v>34500</v>
      </c>
      <c r="W15" s="166"/>
      <c r="X15" s="166">
        <f>SUM(V15:W15)</f>
        <v>34500</v>
      </c>
      <c r="Y15" s="166"/>
      <c r="Z15" s="166">
        <f>SUM(X15:Y15)</f>
        <v>34500</v>
      </c>
      <c r="AA15" s="166"/>
      <c r="AB15" s="166">
        <f>SUM(Z15:AA15)</f>
        <v>34500</v>
      </c>
      <c r="AC15" s="166"/>
      <c r="AD15" s="166">
        <f>SUM(AB15:AC15)</f>
        <v>34500</v>
      </c>
    </row>
    <row r="16" spans="1:30" s="139" customFormat="1" ht="56.25">
      <c r="A16" s="136"/>
      <c r="B16" s="137"/>
      <c r="C16" s="138"/>
      <c r="D16" s="128" t="s">
        <v>428</v>
      </c>
      <c r="E16" s="166"/>
      <c r="F16" s="166"/>
      <c r="G16" s="166"/>
      <c r="H16" s="166">
        <v>0</v>
      </c>
      <c r="I16" s="166">
        <v>25000</v>
      </c>
      <c r="J16" s="166">
        <f>SUM(H16:I16)</f>
        <v>25000</v>
      </c>
      <c r="K16" s="166"/>
      <c r="L16" s="166">
        <f t="shared" si="6"/>
        <v>25000</v>
      </c>
      <c r="M16" s="166"/>
      <c r="N16" s="166">
        <f t="shared" si="7"/>
        <v>25000</v>
      </c>
      <c r="O16" s="166"/>
      <c r="P16" s="166">
        <f t="shared" si="8"/>
        <v>25000</v>
      </c>
      <c r="Q16" s="166">
        <v>-10895</v>
      </c>
      <c r="R16" s="166">
        <f t="shared" si="9"/>
        <v>14105</v>
      </c>
      <c r="S16" s="166"/>
      <c r="T16" s="166">
        <f t="shared" si="10"/>
        <v>14105</v>
      </c>
      <c r="U16" s="166"/>
      <c r="V16" s="166">
        <f t="shared" si="11"/>
        <v>14105</v>
      </c>
      <c r="W16" s="166"/>
      <c r="X16" s="166">
        <f>SUM(V16:W16)</f>
        <v>14105</v>
      </c>
      <c r="Y16" s="166"/>
      <c r="Z16" s="166">
        <f>SUM(X16:Y16)</f>
        <v>14105</v>
      </c>
      <c r="AA16" s="166"/>
      <c r="AB16" s="166">
        <f>SUM(Z16:AA16)</f>
        <v>14105</v>
      </c>
      <c r="AC16" s="166"/>
      <c r="AD16" s="166">
        <f>SUM(AB16:AC16)</f>
        <v>14105</v>
      </c>
    </row>
    <row r="17" spans="1:30" s="139" customFormat="1" ht="56.25">
      <c r="A17" s="136"/>
      <c r="B17" s="137"/>
      <c r="C17" s="138"/>
      <c r="D17" s="128" t="s">
        <v>429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>
        <v>0</v>
      </c>
      <c r="Q17" s="166">
        <v>51395</v>
      </c>
      <c r="R17" s="166">
        <f t="shared" si="9"/>
        <v>51395</v>
      </c>
      <c r="S17" s="166"/>
      <c r="T17" s="166">
        <f t="shared" si="10"/>
        <v>51395</v>
      </c>
      <c r="U17" s="166"/>
      <c r="V17" s="166">
        <f t="shared" si="11"/>
        <v>51395</v>
      </c>
      <c r="W17" s="166"/>
      <c r="X17" s="166">
        <f>SUM(V17:W17)</f>
        <v>51395</v>
      </c>
      <c r="Y17" s="166"/>
      <c r="Z17" s="166">
        <f>SUM(X17:Y17)</f>
        <v>51395</v>
      </c>
      <c r="AA17" s="166"/>
      <c r="AB17" s="166">
        <f>SUM(Z17:AA17)</f>
        <v>51395</v>
      </c>
      <c r="AC17" s="166"/>
      <c r="AD17" s="166">
        <f>SUM(AB17:AC17)</f>
        <v>51395</v>
      </c>
    </row>
    <row r="18" spans="1:30" s="23" customFormat="1" ht="21" customHeight="1">
      <c r="A18" s="69"/>
      <c r="B18" s="70" t="s">
        <v>75</v>
      </c>
      <c r="C18" s="77"/>
      <c r="D18" s="12" t="s">
        <v>76</v>
      </c>
      <c r="E18" s="51">
        <f>SUM(E19,)</f>
        <v>469300</v>
      </c>
      <c r="F18" s="51">
        <f>SUM(F19,)</f>
        <v>-100000</v>
      </c>
      <c r="G18" s="51">
        <f>SUM(G19,)</f>
        <v>1540000</v>
      </c>
      <c r="H18" s="164">
        <f aca="true" t="shared" si="12" ref="H18:H106">SUM(E18:G18)</f>
        <v>1909300</v>
      </c>
      <c r="I18" s="164">
        <f>SUM(I19)</f>
        <v>0</v>
      </c>
      <c r="J18" s="164">
        <f aca="true" t="shared" si="13" ref="J18:J87">SUM(H18:I18)</f>
        <v>1909300</v>
      </c>
      <c r="K18" s="164">
        <f>SUM(K19)</f>
        <v>0</v>
      </c>
      <c r="L18" s="164">
        <f t="shared" si="6"/>
        <v>1909300</v>
      </c>
      <c r="M18" s="164">
        <f>SUM(M19)</f>
        <v>0</v>
      </c>
      <c r="N18" s="164">
        <f t="shared" si="7"/>
        <v>1909300</v>
      </c>
      <c r="O18" s="164">
        <f>SUM(O19)</f>
        <v>-500000</v>
      </c>
      <c r="P18" s="164">
        <f t="shared" si="8"/>
        <v>1409300</v>
      </c>
      <c r="Q18" s="164">
        <f>SUM(Q19)</f>
        <v>297600</v>
      </c>
      <c r="R18" s="164">
        <f t="shared" si="9"/>
        <v>1706900</v>
      </c>
      <c r="S18" s="164">
        <f>SUM(S19)</f>
        <v>0</v>
      </c>
      <c r="T18" s="164">
        <f t="shared" si="10"/>
        <v>1706900</v>
      </c>
      <c r="U18" s="164">
        <f>SUM(U19)</f>
        <v>-264000</v>
      </c>
      <c r="V18" s="164">
        <f t="shared" si="11"/>
        <v>1442900</v>
      </c>
      <c r="W18" s="164">
        <f>SUM(W19)</f>
        <v>-90021</v>
      </c>
      <c r="X18" s="164">
        <f>SUM(V18:W18)</f>
        <v>1352879</v>
      </c>
      <c r="Y18" s="164">
        <f>SUM(Y19)</f>
        <v>0</v>
      </c>
      <c r="Z18" s="164">
        <f>SUM(X18:Y18)</f>
        <v>1352879</v>
      </c>
      <c r="AA18" s="164">
        <f>SUM(AA19)</f>
        <v>-577780</v>
      </c>
      <c r="AB18" s="164">
        <f>SUM(Z18:AA18)</f>
        <v>775099</v>
      </c>
      <c r="AC18" s="164">
        <f>SUM(AC19)</f>
        <v>0</v>
      </c>
      <c r="AD18" s="164">
        <f>SUM(AB18:AC18)</f>
        <v>775099</v>
      </c>
    </row>
    <row r="19" spans="1:30" s="23" customFormat="1" ht="21" customHeight="1">
      <c r="A19" s="75"/>
      <c r="B19" s="46"/>
      <c r="C19" s="77">
        <v>6050</v>
      </c>
      <c r="D19" s="12" t="s">
        <v>72</v>
      </c>
      <c r="E19" s="51">
        <f>SUM(E20:E31)</f>
        <v>469300</v>
      </c>
      <c r="F19" s="51">
        <f>SUM(F20:F31)</f>
        <v>-100000</v>
      </c>
      <c r="G19" s="51">
        <f>SUM(G20:G31)</f>
        <v>1540000</v>
      </c>
      <c r="H19" s="164">
        <f t="shared" si="12"/>
        <v>1909300</v>
      </c>
      <c r="I19" s="164">
        <f>SUM(I20:I31)</f>
        <v>0</v>
      </c>
      <c r="J19" s="164">
        <f t="shared" si="13"/>
        <v>1909300</v>
      </c>
      <c r="K19" s="164">
        <f>SUM(K20:K31)</f>
        <v>0</v>
      </c>
      <c r="L19" s="164">
        <f t="shared" si="6"/>
        <v>1909300</v>
      </c>
      <c r="M19" s="164">
        <f>SUM(M20:M31)</f>
        <v>0</v>
      </c>
      <c r="N19" s="164">
        <f t="shared" si="7"/>
        <v>1909300</v>
      </c>
      <c r="O19" s="164">
        <f>SUM(O20:O31)</f>
        <v>-500000</v>
      </c>
      <c r="P19" s="164">
        <f t="shared" si="8"/>
        <v>1409300</v>
      </c>
      <c r="Q19" s="164">
        <f>SUM(Q20:Q31)</f>
        <v>297600</v>
      </c>
      <c r="R19" s="164">
        <f t="shared" si="9"/>
        <v>1706900</v>
      </c>
      <c r="S19" s="164">
        <f>SUM(S20:S31)</f>
        <v>0</v>
      </c>
      <c r="T19" s="164">
        <f>SUM(R19:S19)</f>
        <v>1706900</v>
      </c>
      <c r="U19" s="164">
        <f aca="true" t="shared" si="14" ref="U19:Z19">SUM(U20:U31)</f>
        <v>-264000</v>
      </c>
      <c r="V19" s="164">
        <f t="shared" si="14"/>
        <v>1442900</v>
      </c>
      <c r="W19" s="164">
        <f t="shared" si="14"/>
        <v>-90021</v>
      </c>
      <c r="X19" s="164">
        <f t="shared" si="14"/>
        <v>1352879</v>
      </c>
      <c r="Y19" s="164">
        <f t="shared" si="14"/>
        <v>0</v>
      </c>
      <c r="Z19" s="164">
        <f t="shared" si="14"/>
        <v>1352879</v>
      </c>
      <c r="AA19" s="164">
        <f>SUM(AA20:AA31)</f>
        <v>-577780</v>
      </c>
      <c r="AB19" s="164">
        <f>SUM(AB20:AB31)</f>
        <v>775099</v>
      </c>
      <c r="AC19" s="164">
        <f>SUM(AC20:AC31)</f>
        <v>0</v>
      </c>
      <c r="AD19" s="164">
        <f>SUM(AD20:AD31)</f>
        <v>775099</v>
      </c>
    </row>
    <row r="20" spans="1:30" s="139" customFormat="1" ht="29.25" customHeight="1">
      <c r="A20" s="165"/>
      <c r="B20" s="137"/>
      <c r="C20" s="138"/>
      <c r="D20" s="128" t="s">
        <v>328</v>
      </c>
      <c r="E20" s="140">
        <v>6300</v>
      </c>
      <c r="F20" s="140"/>
      <c r="G20" s="140"/>
      <c r="H20" s="166">
        <f t="shared" si="12"/>
        <v>6300</v>
      </c>
      <c r="I20" s="166"/>
      <c r="J20" s="166">
        <f>SUM(H20:I20)</f>
        <v>6300</v>
      </c>
      <c r="K20" s="166"/>
      <c r="L20" s="166">
        <f t="shared" si="6"/>
        <v>6300</v>
      </c>
      <c r="M20" s="166"/>
      <c r="N20" s="166">
        <f t="shared" si="7"/>
        <v>6300</v>
      </c>
      <c r="O20" s="166"/>
      <c r="P20" s="166">
        <f t="shared" si="8"/>
        <v>6300</v>
      </c>
      <c r="Q20" s="166"/>
      <c r="R20" s="166">
        <f t="shared" si="9"/>
        <v>6300</v>
      </c>
      <c r="S20" s="166"/>
      <c r="T20" s="166">
        <f t="shared" si="10"/>
        <v>6300</v>
      </c>
      <c r="U20" s="166"/>
      <c r="V20" s="166">
        <f t="shared" si="11"/>
        <v>6300</v>
      </c>
      <c r="W20" s="166"/>
      <c r="X20" s="166">
        <f>SUM(V20:W20)</f>
        <v>6300</v>
      </c>
      <c r="Y20" s="166"/>
      <c r="Z20" s="166">
        <f>SUM(X20:Y20)</f>
        <v>6300</v>
      </c>
      <c r="AA20" s="166"/>
      <c r="AB20" s="166">
        <f>SUM(Z20:AA20)</f>
        <v>6300</v>
      </c>
      <c r="AC20" s="166"/>
      <c r="AD20" s="166">
        <f>SUM(AB20:AC20)</f>
        <v>6300</v>
      </c>
    </row>
    <row r="21" spans="1:30" s="139" customFormat="1" ht="21" customHeight="1">
      <c r="A21" s="165"/>
      <c r="B21" s="137"/>
      <c r="C21" s="138"/>
      <c r="D21" s="128" t="s">
        <v>262</v>
      </c>
      <c r="E21" s="140">
        <v>13000</v>
      </c>
      <c r="F21" s="140"/>
      <c r="G21" s="140"/>
      <c r="H21" s="166">
        <f t="shared" si="12"/>
        <v>13000</v>
      </c>
      <c r="I21" s="166"/>
      <c r="J21" s="166">
        <f aca="true" t="shared" si="15" ref="J21:J31">SUM(H21:I21)</f>
        <v>13000</v>
      </c>
      <c r="K21" s="166"/>
      <c r="L21" s="166">
        <f aca="true" t="shared" si="16" ref="L21:L34">SUM(J21:K21)</f>
        <v>13000</v>
      </c>
      <c r="M21" s="166"/>
      <c r="N21" s="166">
        <f aca="true" t="shared" si="17" ref="N21:N34">SUM(L21:M21)</f>
        <v>13000</v>
      </c>
      <c r="O21" s="166"/>
      <c r="P21" s="166">
        <f aca="true" t="shared" si="18" ref="P21:P54">SUM(N21:O21)</f>
        <v>13000</v>
      </c>
      <c r="Q21" s="166"/>
      <c r="R21" s="166">
        <f aca="true" t="shared" si="19" ref="R21:R54">SUM(P21:Q21)</f>
        <v>13000</v>
      </c>
      <c r="S21" s="166"/>
      <c r="T21" s="166">
        <f aca="true" t="shared" si="20" ref="T21:T54">SUM(R21:S21)</f>
        <v>13000</v>
      </c>
      <c r="U21" s="166"/>
      <c r="V21" s="166">
        <f aca="true" t="shared" si="21" ref="V21:V43">SUM(T21:U21)</f>
        <v>13000</v>
      </c>
      <c r="W21" s="166"/>
      <c r="X21" s="166">
        <f aca="true" t="shared" si="22" ref="X21:X43">SUM(V21:W21)</f>
        <v>13000</v>
      </c>
      <c r="Y21" s="166"/>
      <c r="Z21" s="166">
        <f aca="true" t="shared" si="23" ref="Z21:Z43">SUM(X21:Y21)</f>
        <v>13000</v>
      </c>
      <c r="AA21" s="166">
        <v>2720</v>
      </c>
      <c r="AB21" s="166">
        <f aca="true" t="shared" si="24" ref="AB21:AB43">SUM(Z21:AA21)</f>
        <v>15720</v>
      </c>
      <c r="AC21" s="166"/>
      <c r="AD21" s="166">
        <f aca="true" t="shared" si="25" ref="AD21:AD43">SUM(AB21:AC21)</f>
        <v>15720</v>
      </c>
    </row>
    <row r="22" spans="1:30" s="139" customFormat="1" ht="21" customHeight="1">
      <c r="A22" s="165"/>
      <c r="B22" s="137"/>
      <c r="C22" s="138"/>
      <c r="D22" s="128" t="s">
        <v>405</v>
      </c>
      <c r="E22" s="140"/>
      <c r="F22" s="140"/>
      <c r="G22" s="140"/>
      <c r="H22" s="166"/>
      <c r="I22" s="166"/>
      <c r="J22" s="166"/>
      <c r="K22" s="166"/>
      <c r="L22" s="166"/>
      <c r="M22" s="166"/>
      <c r="N22" s="166"/>
      <c r="O22" s="166"/>
      <c r="P22" s="166">
        <v>0</v>
      </c>
      <c r="Q22" s="166">
        <v>3500</v>
      </c>
      <c r="R22" s="166">
        <f t="shared" si="19"/>
        <v>3500</v>
      </c>
      <c r="S22" s="166"/>
      <c r="T22" s="166">
        <f t="shared" si="20"/>
        <v>3500</v>
      </c>
      <c r="U22" s="166"/>
      <c r="V22" s="166">
        <f t="shared" si="21"/>
        <v>3500</v>
      </c>
      <c r="W22" s="166"/>
      <c r="X22" s="166">
        <f t="shared" si="22"/>
        <v>3500</v>
      </c>
      <c r="Y22" s="166"/>
      <c r="Z22" s="166">
        <f t="shared" si="23"/>
        <v>3500</v>
      </c>
      <c r="AA22" s="166"/>
      <c r="AB22" s="166">
        <f t="shared" si="24"/>
        <v>3500</v>
      </c>
      <c r="AC22" s="166"/>
      <c r="AD22" s="166">
        <f t="shared" si="25"/>
        <v>3500</v>
      </c>
    </row>
    <row r="23" spans="1:30" s="139" customFormat="1" ht="21" customHeight="1">
      <c r="A23" s="165"/>
      <c r="B23" s="137"/>
      <c r="C23" s="138"/>
      <c r="D23" s="128" t="s">
        <v>293</v>
      </c>
      <c r="E23" s="140">
        <v>0</v>
      </c>
      <c r="F23" s="140"/>
      <c r="G23" s="169">
        <v>10000</v>
      </c>
      <c r="H23" s="166">
        <f t="shared" si="12"/>
        <v>10000</v>
      </c>
      <c r="I23" s="166"/>
      <c r="J23" s="166">
        <f t="shared" si="15"/>
        <v>10000</v>
      </c>
      <c r="K23" s="166"/>
      <c r="L23" s="166">
        <f t="shared" si="16"/>
        <v>10000</v>
      </c>
      <c r="M23" s="166"/>
      <c r="N23" s="166">
        <f t="shared" si="17"/>
        <v>10000</v>
      </c>
      <c r="O23" s="166"/>
      <c r="P23" s="166">
        <f t="shared" si="18"/>
        <v>10000</v>
      </c>
      <c r="Q23" s="166"/>
      <c r="R23" s="166">
        <f t="shared" si="19"/>
        <v>10000</v>
      </c>
      <c r="S23" s="166"/>
      <c r="T23" s="166">
        <f t="shared" si="20"/>
        <v>10000</v>
      </c>
      <c r="U23" s="166"/>
      <c r="V23" s="166">
        <f t="shared" si="21"/>
        <v>10000</v>
      </c>
      <c r="W23" s="166"/>
      <c r="X23" s="166">
        <f t="shared" si="22"/>
        <v>10000</v>
      </c>
      <c r="Y23" s="166"/>
      <c r="Z23" s="166">
        <f t="shared" si="23"/>
        <v>10000</v>
      </c>
      <c r="AA23" s="166"/>
      <c r="AB23" s="166">
        <f t="shared" si="24"/>
        <v>10000</v>
      </c>
      <c r="AC23" s="166"/>
      <c r="AD23" s="166">
        <f t="shared" si="25"/>
        <v>10000</v>
      </c>
    </row>
    <row r="24" spans="1:30" s="139" customFormat="1" ht="25.5" customHeight="1">
      <c r="A24" s="165"/>
      <c r="B24" s="137"/>
      <c r="C24" s="138"/>
      <c r="D24" s="128" t="s">
        <v>263</v>
      </c>
      <c r="E24" s="140">
        <v>250000</v>
      </c>
      <c r="F24" s="140"/>
      <c r="G24" s="140"/>
      <c r="H24" s="166">
        <f t="shared" si="12"/>
        <v>250000</v>
      </c>
      <c r="I24" s="166"/>
      <c r="J24" s="166">
        <f t="shared" si="15"/>
        <v>250000</v>
      </c>
      <c r="K24" s="166"/>
      <c r="L24" s="166">
        <f t="shared" si="16"/>
        <v>250000</v>
      </c>
      <c r="M24" s="166"/>
      <c r="N24" s="166">
        <f t="shared" si="17"/>
        <v>250000</v>
      </c>
      <c r="O24" s="166"/>
      <c r="P24" s="166">
        <f t="shared" si="18"/>
        <v>250000</v>
      </c>
      <c r="Q24" s="166">
        <v>234000</v>
      </c>
      <c r="R24" s="166">
        <f t="shared" si="19"/>
        <v>484000</v>
      </c>
      <c r="S24" s="166"/>
      <c r="T24" s="166">
        <f t="shared" si="20"/>
        <v>484000</v>
      </c>
      <c r="U24" s="166"/>
      <c r="V24" s="166">
        <f t="shared" si="21"/>
        <v>484000</v>
      </c>
      <c r="W24" s="166"/>
      <c r="X24" s="166">
        <f t="shared" si="22"/>
        <v>484000</v>
      </c>
      <c r="Y24" s="166">
        <v>-11200</v>
      </c>
      <c r="Z24" s="166">
        <f t="shared" si="23"/>
        <v>472800</v>
      </c>
      <c r="AA24" s="166"/>
      <c r="AB24" s="166">
        <f t="shared" si="24"/>
        <v>472800</v>
      </c>
      <c r="AC24" s="166"/>
      <c r="AD24" s="166">
        <f t="shared" si="25"/>
        <v>472800</v>
      </c>
    </row>
    <row r="25" spans="1:30" s="139" customFormat="1" ht="45">
      <c r="A25" s="165"/>
      <c r="B25" s="137"/>
      <c r="C25" s="138"/>
      <c r="D25" s="128" t="s">
        <v>327</v>
      </c>
      <c r="E25" s="140">
        <v>0</v>
      </c>
      <c r="F25" s="140"/>
      <c r="G25" s="169">
        <v>500000</v>
      </c>
      <c r="H25" s="166">
        <f t="shared" si="12"/>
        <v>500000</v>
      </c>
      <c r="I25" s="166"/>
      <c r="J25" s="166">
        <f t="shared" si="15"/>
        <v>500000</v>
      </c>
      <c r="K25" s="166"/>
      <c r="L25" s="166">
        <f t="shared" si="16"/>
        <v>500000</v>
      </c>
      <c r="M25" s="166"/>
      <c r="N25" s="166">
        <f t="shared" si="17"/>
        <v>500000</v>
      </c>
      <c r="O25" s="166">
        <v>-500000</v>
      </c>
      <c r="P25" s="166">
        <f t="shared" si="18"/>
        <v>0</v>
      </c>
      <c r="Q25" s="166"/>
      <c r="R25" s="166">
        <f t="shared" si="19"/>
        <v>0</v>
      </c>
      <c r="S25" s="166"/>
      <c r="T25" s="166">
        <f t="shared" si="20"/>
        <v>0</v>
      </c>
      <c r="U25" s="166"/>
      <c r="V25" s="166">
        <f t="shared" si="21"/>
        <v>0</v>
      </c>
      <c r="W25" s="166"/>
      <c r="X25" s="166">
        <f t="shared" si="22"/>
        <v>0</v>
      </c>
      <c r="Y25" s="166"/>
      <c r="Z25" s="166">
        <f t="shared" si="23"/>
        <v>0</v>
      </c>
      <c r="AA25" s="166"/>
      <c r="AB25" s="166">
        <f t="shared" si="24"/>
        <v>0</v>
      </c>
      <c r="AC25" s="166"/>
      <c r="AD25" s="166">
        <f t="shared" si="25"/>
        <v>0</v>
      </c>
    </row>
    <row r="26" spans="1:30" s="139" customFormat="1" ht="22.5">
      <c r="A26" s="165"/>
      <c r="B26" s="137"/>
      <c r="C26" s="138"/>
      <c r="D26" s="128" t="s">
        <v>295</v>
      </c>
      <c r="E26" s="140">
        <v>0</v>
      </c>
      <c r="F26" s="140"/>
      <c r="G26" s="169">
        <v>30000</v>
      </c>
      <c r="H26" s="166">
        <f t="shared" si="12"/>
        <v>30000</v>
      </c>
      <c r="I26" s="166"/>
      <c r="J26" s="166">
        <f t="shared" si="15"/>
        <v>30000</v>
      </c>
      <c r="K26" s="166"/>
      <c r="L26" s="166">
        <f t="shared" si="16"/>
        <v>30000</v>
      </c>
      <c r="M26" s="166"/>
      <c r="N26" s="166">
        <f t="shared" si="17"/>
        <v>30000</v>
      </c>
      <c r="O26" s="166"/>
      <c r="P26" s="166">
        <f t="shared" si="18"/>
        <v>30000</v>
      </c>
      <c r="Q26" s="166"/>
      <c r="R26" s="166">
        <f t="shared" si="19"/>
        <v>30000</v>
      </c>
      <c r="S26" s="166"/>
      <c r="T26" s="166">
        <f t="shared" si="20"/>
        <v>30000</v>
      </c>
      <c r="U26" s="166"/>
      <c r="V26" s="166">
        <f t="shared" si="21"/>
        <v>30000</v>
      </c>
      <c r="W26" s="166"/>
      <c r="X26" s="166">
        <f t="shared" si="22"/>
        <v>30000</v>
      </c>
      <c r="Y26" s="166"/>
      <c r="Z26" s="166">
        <f t="shared" si="23"/>
        <v>30000</v>
      </c>
      <c r="AA26" s="166"/>
      <c r="AB26" s="166">
        <f t="shared" si="24"/>
        <v>30000</v>
      </c>
      <c r="AC26" s="166"/>
      <c r="AD26" s="166">
        <f t="shared" si="25"/>
        <v>30000</v>
      </c>
    </row>
    <row r="27" spans="1:30" s="139" customFormat="1" ht="45">
      <c r="A27" s="165"/>
      <c r="B27" s="137"/>
      <c r="C27" s="138"/>
      <c r="D27" s="128" t="s">
        <v>431</v>
      </c>
      <c r="E27" s="140">
        <v>0</v>
      </c>
      <c r="F27" s="140"/>
      <c r="G27" s="169">
        <v>500000</v>
      </c>
      <c r="H27" s="166">
        <f t="shared" si="12"/>
        <v>500000</v>
      </c>
      <c r="I27" s="166"/>
      <c r="J27" s="166">
        <f t="shared" si="15"/>
        <v>500000</v>
      </c>
      <c r="K27" s="166"/>
      <c r="L27" s="166">
        <f t="shared" si="16"/>
        <v>500000</v>
      </c>
      <c r="M27" s="166"/>
      <c r="N27" s="166">
        <f t="shared" si="17"/>
        <v>500000</v>
      </c>
      <c r="O27" s="166"/>
      <c r="P27" s="166">
        <f t="shared" si="18"/>
        <v>500000</v>
      </c>
      <c r="Q27" s="166"/>
      <c r="R27" s="166">
        <f t="shared" si="19"/>
        <v>500000</v>
      </c>
      <c r="S27" s="166"/>
      <c r="T27" s="166">
        <f t="shared" si="20"/>
        <v>500000</v>
      </c>
      <c r="U27" s="166">
        <v>-264000</v>
      </c>
      <c r="V27" s="166">
        <f t="shared" si="21"/>
        <v>236000</v>
      </c>
      <c r="W27" s="164">
        <f>-140021+50000</f>
        <v>-90021</v>
      </c>
      <c r="X27" s="166">
        <f t="shared" si="22"/>
        <v>145979</v>
      </c>
      <c r="Y27" s="164"/>
      <c r="Z27" s="166">
        <f t="shared" si="23"/>
        <v>145979</v>
      </c>
      <c r="AA27" s="164">
        <v>-145500</v>
      </c>
      <c r="AB27" s="166">
        <f t="shared" si="24"/>
        <v>479</v>
      </c>
      <c r="AC27" s="164"/>
      <c r="AD27" s="166">
        <f t="shared" si="25"/>
        <v>479</v>
      </c>
    </row>
    <row r="28" spans="1:30" s="139" customFormat="1" ht="21" customHeight="1">
      <c r="A28" s="165"/>
      <c r="B28" s="137"/>
      <c r="C28" s="138"/>
      <c r="D28" s="128" t="s">
        <v>289</v>
      </c>
      <c r="E28" s="140">
        <v>0</v>
      </c>
      <c r="F28" s="140"/>
      <c r="G28" s="169">
        <v>500000</v>
      </c>
      <c r="H28" s="166">
        <f t="shared" si="12"/>
        <v>500000</v>
      </c>
      <c r="I28" s="166"/>
      <c r="J28" s="166">
        <f t="shared" si="15"/>
        <v>500000</v>
      </c>
      <c r="K28" s="166"/>
      <c r="L28" s="166">
        <f t="shared" si="16"/>
        <v>500000</v>
      </c>
      <c r="M28" s="166"/>
      <c r="N28" s="166">
        <f t="shared" si="17"/>
        <v>500000</v>
      </c>
      <c r="O28" s="166"/>
      <c r="P28" s="166">
        <f t="shared" si="18"/>
        <v>500000</v>
      </c>
      <c r="Q28" s="166"/>
      <c r="R28" s="166">
        <f t="shared" si="19"/>
        <v>500000</v>
      </c>
      <c r="S28" s="166"/>
      <c r="T28" s="166">
        <f t="shared" si="20"/>
        <v>500000</v>
      </c>
      <c r="U28" s="166"/>
      <c r="V28" s="166">
        <f t="shared" si="21"/>
        <v>500000</v>
      </c>
      <c r="W28" s="166"/>
      <c r="X28" s="166">
        <f t="shared" si="22"/>
        <v>500000</v>
      </c>
      <c r="Y28" s="166"/>
      <c r="Z28" s="166">
        <f t="shared" si="23"/>
        <v>500000</v>
      </c>
      <c r="AA28" s="166">
        <v>-450000</v>
      </c>
      <c r="AB28" s="166">
        <f t="shared" si="24"/>
        <v>50000</v>
      </c>
      <c r="AC28" s="166"/>
      <c r="AD28" s="166">
        <f t="shared" si="25"/>
        <v>50000</v>
      </c>
    </row>
    <row r="29" spans="1:30" s="139" customFormat="1" ht="22.5">
      <c r="A29" s="165"/>
      <c r="B29" s="137"/>
      <c r="C29" s="138"/>
      <c r="D29" s="128" t="s">
        <v>430</v>
      </c>
      <c r="E29" s="140">
        <v>100000</v>
      </c>
      <c r="F29" s="140"/>
      <c r="G29" s="140"/>
      <c r="H29" s="166">
        <f t="shared" si="12"/>
        <v>100000</v>
      </c>
      <c r="I29" s="166"/>
      <c r="J29" s="166">
        <f t="shared" si="15"/>
        <v>100000</v>
      </c>
      <c r="K29" s="166"/>
      <c r="L29" s="166">
        <f t="shared" si="16"/>
        <v>100000</v>
      </c>
      <c r="M29" s="166"/>
      <c r="N29" s="166">
        <f t="shared" si="17"/>
        <v>100000</v>
      </c>
      <c r="O29" s="166"/>
      <c r="P29" s="166">
        <f t="shared" si="18"/>
        <v>100000</v>
      </c>
      <c r="Q29" s="166">
        <v>60100</v>
      </c>
      <c r="R29" s="166">
        <f t="shared" si="19"/>
        <v>160100</v>
      </c>
      <c r="S29" s="166"/>
      <c r="T29" s="166">
        <f t="shared" si="20"/>
        <v>160100</v>
      </c>
      <c r="U29" s="166"/>
      <c r="V29" s="166">
        <f t="shared" si="21"/>
        <v>160100</v>
      </c>
      <c r="W29" s="166"/>
      <c r="X29" s="166">
        <f t="shared" si="22"/>
        <v>160100</v>
      </c>
      <c r="Y29" s="166">
        <v>11200</v>
      </c>
      <c r="Z29" s="166">
        <f t="shared" si="23"/>
        <v>171300</v>
      </c>
      <c r="AA29" s="166"/>
      <c r="AB29" s="166">
        <f t="shared" si="24"/>
        <v>171300</v>
      </c>
      <c r="AC29" s="166"/>
      <c r="AD29" s="166">
        <f t="shared" si="25"/>
        <v>171300</v>
      </c>
    </row>
    <row r="30" spans="1:30" s="139" customFormat="1" ht="21" customHeight="1">
      <c r="A30" s="165"/>
      <c r="B30" s="137"/>
      <c r="C30" s="138"/>
      <c r="D30" s="128" t="s">
        <v>479</v>
      </c>
      <c r="E30" s="140"/>
      <c r="F30" s="140"/>
      <c r="G30" s="140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>
        <v>0</v>
      </c>
      <c r="AA30" s="166">
        <v>15000</v>
      </c>
      <c r="AB30" s="166">
        <f t="shared" si="24"/>
        <v>15000</v>
      </c>
      <c r="AC30" s="166"/>
      <c r="AD30" s="166">
        <f t="shared" si="25"/>
        <v>15000</v>
      </c>
    </row>
    <row r="31" spans="1:30" s="139" customFormat="1" ht="24" customHeight="1">
      <c r="A31" s="165"/>
      <c r="B31" s="137"/>
      <c r="C31" s="138"/>
      <c r="D31" s="128" t="s">
        <v>264</v>
      </c>
      <c r="E31" s="140">
        <v>100000</v>
      </c>
      <c r="F31" s="169">
        <v>-100000</v>
      </c>
      <c r="G31" s="140"/>
      <c r="H31" s="166">
        <f t="shared" si="12"/>
        <v>0</v>
      </c>
      <c r="I31" s="166"/>
      <c r="J31" s="166">
        <f t="shared" si="15"/>
        <v>0</v>
      </c>
      <c r="K31" s="166"/>
      <c r="L31" s="166">
        <f t="shared" si="16"/>
        <v>0</v>
      </c>
      <c r="M31" s="166"/>
      <c r="N31" s="166">
        <f t="shared" si="17"/>
        <v>0</v>
      </c>
      <c r="O31" s="166"/>
      <c r="P31" s="166">
        <f t="shared" si="18"/>
        <v>0</v>
      </c>
      <c r="Q31" s="166"/>
      <c r="R31" s="166">
        <f t="shared" si="19"/>
        <v>0</v>
      </c>
      <c r="S31" s="166"/>
      <c r="T31" s="166">
        <f t="shared" si="20"/>
        <v>0</v>
      </c>
      <c r="U31" s="166"/>
      <c r="V31" s="166">
        <f t="shared" si="21"/>
        <v>0</v>
      </c>
      <c r="W31" s="166"/>
      <c r="X31" s="166">
        <f t="shared" si="22"/>
        <v>0</v>
      </c>
      <c r="Y31" s="166"/>
      <c r="Z31" s="166">
        <f t="shared" si="23"/>
        <v>0</v>
      </c>
      <c r="AA31" s="166"/>
      <c r="AB31" s="166">
        <f t="shared" si="24"/>
        <v>0</v>
      </c>
      <c r="AC31" s="166"/>
      <c r="AD31" s="166">
        <f t="shared" si="25"/>
        <v>0</v>
      </c>
    </row>
    <row r="32" spans="1:30" s="9" customFormat="1" ht="21" customHeight="1">
      <c r="A32" s="28" t="s">
        <v>8</v>
      </c>
      <c r="B32" s="3"/>
      <c r="C32" s="19"/>
      <c r="D32" s="18" t="s">
        <v>9</v>
      </c>
      <c r="E32" s="17">
        <f aca="true" t="shared" si="26" ref="E32:G33">SUM(E33)</f>
        <v>500000</v>
      </c>
      <c r="F32" s="17">
        <f t="shared" si="26"/>
        <v>-200000</v>
      </c>
      <c r="G32" s="17">
        <f t="shared" si="26"/>
        <v>0</v>
      </c>
      <c r="H32" s="38">
        <f t="shared" si="12"/>
        <v>300000</v>
      </c>
      <c r="I32" s="38">
        <f>SUM(I33)</f>
        <v>0</v>
      </c>
      <c r="J32" s="38">
        <f t="shared" si="13"/>
        <v>300000</v>
      </c>
      <c r="K32" s="38">
        <f>SUM(K33)</f>
        <v>0</v>
      </c>
      <c r="L32" s="38">
        <f t="shared" si="16"/>
        <v>300000</v>
      </c>
      <c r="M32" s="38">
        <f>SUM(M33)</f>
        <v>0</v>
      </c>
      <c r="N32" s="38">
        <f t="shared" si="17"/>
        <v>300000</v>
      </c>
      <c r="O32" s="38">
        <f>SUM(O33)</f>
        <v>0</v>
      </c>
      <c r="P32" s="38">
        <f t="shared" si="18"/>
        <v>300000</v>
      </c>
      <c r="Q32" s="38">
        <f>SUM(Q33)</f>
        <v>0</v>
      </c>
      <c r="R32" s="38">
        <f t="shared" si="19"/>
        <v>300000</v>
      </c>
      <c r="S32" s="38">
        <f>SUM(S33)</f>
        <v>0</v>
      </c>
      <c r="T32" s="38">
        <f t="shared" si="20"/>
        <v>300000</v>
      </c>
      <c r="U32" s="38">
        <f>SUM(U33)</f>
        <v>0</v>
      </c>
      <c r="V32" s="38">
        <f t="shared" si="21"/>
        <v>300000</v>
      </c>
      <c r="W32" s="38">
        <f>SUM(W33)</f>
        <v>0</v>
      </c>
      <c r="X32" s="38">
        <f t="shared" si="22"/>
        <v>300000</v>
      </c>
      <c r="Y32" s="38">
        <f>SUM(Y33)</f>
        <v>0</v>
      </c>
      <c r="Z32" s="38">
        <f t="shared" si="23"/>
        <v>300000</v>
      </c>
      <c r="AA32" s="38">
        <f>SUM(AA33)</f>
        <v>0</v>
      </c>
      <c r="AB32" s="38">
        <f t="shared" si="24"/>
        <v>300000</v>
      </c>
      <c r="AC32" s="38">
        <f>SUM(AC33)</f>
        <v>0</v>
      </c>
      <c r="AD32" s="38">
        <f t="shared" si="25"/>
        <v>300000</v>
      </c>
    </row>
    <row r="33" spans="1:30" s="23" customFormat="1" ht="21" customHeight="1">
      <c r="A33" s="69"/>
      <c r="B33" s="70">
        <v>70095</v>
      </c>
      <c r="C33" s="77"/>
      <c r="D33" s="12" t="s">
        <v>6</v>
      </c>
      <c r="E33" s="82">
        <f t="shared" si="26"/>
        <v>500000</v>
      </c>
      <c r="F33" s="82">
        <f t="shared" si="26"/>
        <v>-200000</v>
      </c>
      <c r="G33" s="82">
        <f t="shared" si="26"/>
        <v>0</v>
      </c>
      <c r="H33" s="164">
        <f t="shared" si="12"/>
        <v>300000</v>
      </c>
      <c r="I33" s="164">
        <f>SUM(I34)</f>
        <v>0</v>
      </c>
      <c r="J33" s="164">
        <f t="shared" si="13"/>
        <v>300000</v>
      </c>
      <c r="K33" s="164">
        <f>SUM(K34)</f>
        <v>0</v>
      </c>
      <c r="L33" s="164">
        <f t="shared" si="16"/>
        <v>300000</v>
      </c>
      <c r="M33" s="164">
        <f>SUM(M34)</f>
        <v>0</v>
      </c>
      <c r="N33" s="164">
        <f t="shared" si="17"/>
        <v>300000</v>
      </c>
      <c r="O33" s="164">
        <f>SUM(O34)</f>
        <v>0</v>
      </c>
      <c r="P33" s="164">
        <f t="shared" si="18"/>
        <v>300000</v>
      </c>
      <c r="Q33" s="164">
        <f>SUM(Q34)</f>
        <v>0</v>
      </c>
      <c r="R33" s="164">
        <f t="shared" si="19"/>
        <v>300000</v>
      </c>
      <c r="S33" s="164">
        <f>SUM(S34)</f>
        <v>0</v>
      </c>
      <c r="T33" s="164">
        <f t="shared" si="20"/>
        <v>300000</v>
      </c>
      <c r="U33" s="164">
        <f>SUM(U34)</f>
        <v>0</v>
      </c>
      <c r="V33" s="164">
        <f t="shared" si="21"/>
        <v>300000</v>
      </c>
      <c r="W33" s="164">
        <f>SUM(W34)</f>
        <v>0</v>
      </c>
      <c r="X33" s="164">
        <f t="shared" si="22"/>
        <v>300000</v>
      </c>
      <c r="Y33" s="164">
        <f>SUM(Y34)</f>
        <v>0</v>
      </c>
      <c r="Z33" s="164">
        <f t="shared" si="23"/>
        <v>300000</v>
      </c>
      <c r="AA33" s="164">
        <f>SUM(AA34)</f>
        <v>0</v>
      </c>
      <c r="AB33" s="164">
        <f t="shared" si="24"/>
        <v>300000</v>
      </c>
      <c r="AC33" s="164">
        <f>SUM(AC34)</f>
        <v>0</v>
      </c>
      <c r="AD33" s="164">
        <f t="shared" si="25"/>
        <v>300000</v>
      </c>
    </row>
    <row r="34" spans="1:30" s="23" customFormat="1" ht="21" customHeight="1">
      <c r="A34" s="69"/>
      <c r="B34" s="70"/>
      <c r="C34" s="71">
        <v>6050</v>
      </c>
      <c r="D34" s="12" t="s">
        <v>72</v>
      </c>
      <c r="E34" s="82">
        <f>SUM(E35:E35)</f>
        <v>500000</v>
      </c>
      <c r="F34" s="82">
        <f>SUM(F35:F35)</f>
        <v>-200000</v>
      </c>
      <c r="G34" s="82">
        <f>SUM(G35:G35)</f>
        <v>0</v>
      </c>
      <c r="H34" s="164">
        <f t="shared" si="12"/>
        <v>300000</v>
      </c>
      <c r="I34" s="164">
        <f>SUM(I35)</f>
        <v>0</v>
      </c>
      <c r="J34" s="164">
        <f t="shared" si="13"/>
        <v>300000</v>
      </c>
      <c r="K34" s="164">
        <f>SUM(K35)</f>
        <v>0</v>
      </c>
      <c r="L34" s="164">
        <f t="shared" si="16"/>
        <v>300000</v>
      </c>
      <c r="M34" s="164">
        <f>SUM(M35)</f>
        <v>0</v>
      </c>
      <c r="N34" s="164">
        <f t="shared" si="17"/>
        <v>300000</v>
      </c>
      <c r="O34" s="164">
        <f>SUM(O35)</f>
        <v>0</v>
      </c>
      <c r="P34" s="164">
        <f t="shared" si="18"/>
        <v>300000</v>
      </c>
      <c r="Q34" s="164">
        <f>SUM(Q35)</f>
        <v>0</v>
      </c>
      <c r="R34" s="164">
        <f t="shared" si="19"/>
        <v>300000</v>
      </c>
      <c r="S34" s="164">
        <f>SUM(S35)</f>
        <v>0</v>
      </c>
      <c r="T34" s="164">
        <f t="shared" si="20"/>
        <v>300000</v>
      </c>
      <c r="U34" s="164">
        <f>SUM(U35)</f>
        <v>0</v>
      </c>
      <c r="V34" s="164">
        <f t="shared" si="21"/>
        <v>300000</v>
      </c>
      <c r="W34" s="164">
        <f>SUM(W35)</f>
        <v>0</v>
      </c>
      <c r="X34" s="164">
        <f t="shared" si="22"/>
        <v>300000</v>
      </c>
      <c r="Y34" s="164">
        <f>SUM(Y35)</f>
        <v>0</v>
      </c>
      <c r="Z34" s="164">
        <f t="shared" si="23"/>
        <v>300000</v>
      </c>
      <c r="AA34" s="164">
        <f>SUM(AA35)</f>
        <v>0</v>
      </c>
      <c r="AB34" s="164">
        <f t="shared" si="24"/>
        <v>300000</v>
      </c>
      <c r="AC34" s="164">
        <f>SUM(AC35)</f>
        <v>0</v>
      </c>
      <c r="AD34" s="164">
        <f t="shared" si="25"/>
        <v>300000</v>
      </c>
    </row>
    <row r="35" spans="1:30" s="23" customFormat="1" ht="21" customHeight="1">
      <c r="A35" s="42"/>
      <c r="B35" s="41"/>
      <c r="C35" s="43"/>
      <c r="D35" s="44" t="s">
        <v>265</v>
      </c>
      <c r="E35" s="91">
        <v>500000</v>
      </c>
      <c r="F35" s="174">
        <v>-200000</v>
      </c>
      <c r="G35" s="91"/>
      <c r="H35" s="166">
        <f t="shared" si="12"/>
        <v>300000</v>
      </c>
      <c r="I35" s="164"/>
      <c r="J35" s="166">
        <f>SUM(H35:I35)</f>
        <v>300000</v>
      </c>
      <c r="K35" s="164"/>
      <c r="L35" s="166">
        <f>SUM(J35:K35)</f>
        <v>300000</v>
      </c>
      <c r="M35" s="164"/>
      <c r="N35" s="166">
        <f aca="true" t="shared" si="27" ref="N35:N54">SUM(L35:M35)</f>
        <v>300000</v>
      </c>
      <c r="O35" s="164"/>
      <c r="P35" s="166">
        <f t="shared" si="18"/>
        <v>300000</v>
      </c>
      <c r="Q35" s="164"/>
      <c r="R35" s="166">
        <f t="shared" si="19"/>
        <v>300000</v>
      </c>
      <c r="S35" s="164"/>
      <c r="T35" s="166">
        <f t="shared" si="20"/>
        <v>300000</v>
      </c>
      <c r="U35" s="164"/>
      <c r="V35" s="166">
        <f t="shared" si="21"/>
        <v>300000</v>
      </c>
      <c r="W35" s="164"/>
      <c r="X35" s="166">
        <f t="shared" si="22"/>
        <v>300000</v>
      </c>
      <c r="Y35" s="164"/>
      <c r="Z35" s="166">
        <f t="shared" si="23"/>
        <v>300000</v>
      </c>
      <c r="AA35" s="164"/>
      <c r="AB35" s="166">
        <f t="shared" si="24"/>
        <v>300000</v>
      </c>
      <c r="AC35" s="164"/>
      <c r="AD35" s="166">
        <f t="shared" si="25"/>
        <v>300000</v>
      </c>
    </row>
    <row r="36" spans="1:30" s="148" customFormat="1" ht="21" customHeight="1">
      <c r="A36" s="157">
        <v>710</v>
      </c>
      <c r="B36" s="158"/>
      <c r="C36" s="159"/>
      <c r="D36" s="35" t="s">
        <v>79</v>
      </c>
      <c r="E36" s="147">
        <f aca="true" t="shared" si="28" ref="E36:G38">SUM(E37)</f>
        <v>0</v>
      </c>
      <c r="F36" s="147">
        <f t="shared" si="28"/>
        <v>0</v>
      </c>
      <c r="G36" s="147">
        <f t="shared" si="28"/>
        <v>20000</v>
      </c>
      <c r="H36" s="170">
        <f t="shared" si="12"/>
        <v>20000</v>
      </c>
      <c r="I36" s="170">
        <f>SUM(I37)</f>
        <v>0</v>
      </c>
      <c r="J36" s="38">
        <f t="shared" si="13"/>
        <v>20000</v>
      </c>
      <c r="K36" s="170">
        <f>SUM(K37)</f>
        <v>0</v>
      </c>
      <c r="L36" s="38">
        <f aca="true" t="shared" si="29" ref="L36:L103">SUM(J36:K36)</f>
        <v>20000</v>
      </c>
      <c r="M36" s="170">
        <f>SUM(M37)</f>
        <v>0</v>
      </c>
      <c r="N36" s="38">
        <f t="shared" si="27"/>
        <v>20000</v>
      </c>
      <c r="O36" s="170">
        <f>SUM(O37)</f>
        <v>0</v>
      </c>
      <c r="P36" s="38">
        <f t="shared" si="18"/>
        <v>20000</v>
      </c>
      <c r="Q36" s="170">
        <f>SUM(Q37)</f>
        <v>0</v>
      </c>
      <c r="R36" s="38">
        <f t="shared" si="19"/>
        <v>20000</v>
      </c>
      <c r="S36" s="170">
        <f>SUM(S37)</f>
        <v>0</v>
      </c>
      <c r="T36" s="38">
        <f t="shared" si="20"/>
        <v>20000</v>
      </c>
      <c r="U36" s="170">
        <f>SUM(U37)</f>
        <v>0</v>
      </c>
      <c r="V36" s="38">
        <f t="shared" si="21"/>
        <v>20000</v>
      </c>
      <c r="W36" s="170">
        <f>SUM(W37)</f>
        <v>0</v>
      </c>
      <c r="X36" s="38">
        <f t="shared" si="22"/>
        <v>20000</v>
      </c>
      <c r="Y36" s="170">
        <f>SUM(Y37)</f>
        <v>0</v>
      </c>
      <c r="Z36" s="38">
        <f t="shared" si="23"/>
        <v>20000</v>
      </c>
      <c r="AA36" s="170">
        <f>SUM(AA37)</f>
        <v>0</v>
      </c>
      <c r="AB36" s="38">
        <f t="shared" si="24"/>
        <v>20000</v>
      </c>
      <c r="AC36" s="170">
        <f>SUM(AC37)</f>
        <v>0</v>
      </c>
      <c r="AD36" s="38">
        <f t="shared" si="25"/>
        <v>20000</v>
      </c>
    </row>
    <row r="37" spans="1:30" s="122" customFormat="1" ht="21" customHeight="1">
      <c r="A37" s="123"/>
      <c r="B37" s="130">
        <v>71035</v>
      </c>
      <c r="C37" s="131"/>
      <c r="D37" s="37" t="s">
        <v>14</v>
      </c>
      <c r="E37" s="146">
        <f t="shared" si="28"/>
        <v>0</v>
      </c>
      <c r="F37" s="146">
        <f t="shared" si="28"/>
        <v>0</v>
      </c>
      <c r="G37" s="146">
        <f t="shared" si="28"/>
        <v>20000</v>
      </c>
      <c r="H37" s="164">
        <f t="shared" si="12"/>
        <v>20000</v>
      </c>
      <c r="I37" s="164">
        <f>SUM(I38)</f>
        <v>0</v>
      </c>
      <c r="J37" s="164">
        <f t="shared" si="13"/>
        <v>20000</v>
      </c>
      <c r="K37" s="164">
        <f>SUM(K38)</f>
        <v>0</v>
      </c>
      <c r="L37" s="164">
        <f t="shared" si="29"/>
        <v>20000</v>
      </c>
      <c r="M37" s="164">
        <f>SUM(M38)</f>
        <v>0</v>
      </c>
      <c r="N37" s="164">
        <f t="shared" si="27"/>
        <v>20000</v>
      </c>
      <c r="O37" s="164">
        <f>SUM(O38)</f>
        <v>0</v>
      </c>
      <c r="P37" s="164">
        <f t="shared" si="18"/>
        <v>20000</v>
      </c>
      <c r="Q37" s="164">
        <f>SUM(Q38)</f>
        <v>0</v>
      </c>
      <c r="R37" s="164">
        <f t="shared" si="19"/>
        <v>20000</v>
      </c>
      <c r="S37" s="164">
        <f>SUM(S38)</f>
        <v>0</v>
      </c>
      <c r="T37" s="164">
        <f t="shared" si="20"/>
        <v>20000</v>
      </c>
      <c r="U37" s="164">
        <f>SUM(U38)</f>
        <v>0</v>
      </c>
      <c r="V37" s="164">
        <f t="shared" si="21"/>
        <v>20000</v>
      </c>
      <c r="W37" s="164">
        <f>SUM(W38)</f>
        <v>0</v>
      </c>
      <c r="X37" s="164">
        <f t="shared" si="22"/>
        <v>20000</v>
      </c>
      <c r="Y37" s="164">
        <f>SUM(Y38)</f>
        <v>0</v>
      </c>
      <c r="Z37" s="164">
        <f t="shared" si="23"/>
        <v>20000</v>
      </c>
      <c r="AA37" s="164">
        <f>SUM(AA38)</f>
        <v>0</v>
      </c>
      <c r="AB37" s="164">
        <f t="shared" si="24"/>
        <v>20000</v>
      </c>
      <c r="AC37" s="164">
        <f>SUM(AC38)</f>
        <v>0</v>
      </c>
      <c r="AD37" s="164">
        <f t="shared" si="25"/>
        <v>20000</v>
      </c>
    </row>
    <row r="38" spans="1:30" s="122" customFormat="1" ht="21" customHeight="1">
      <c r="A38" s="123"/>
      <c r="B38" s="130"/>
      <c r="C38" s="131">
        <v>6050</v>
      </c>
      <c r="D38" s="12" t="s">
        <v>72</v>
      </c>
      <c r="E38" s="146">
        <f t="shared" si="28"/>
        <v>0</v>
      </c>
      <c r="F38" s="146">
        <f t="shared" si="28"/>
        <v>0</v>
      </c>
      <c r="G38" s="146">
        <f t="shared" si="28"/>
        <v>20000</v>
      </c>
      <c r="H38" s="164">
        <f t="shared" si="12"/>
        <v>20000</v>
      </c>
      <c r="I38" s="164">
        <f>SUM(I39)</f>
        <v>0</v>
      </c>
      <c r="J38" s="164">
        <f t="shared" si="13"/>
        <v>20000</v>
      </c>
      <c r="K38" s="164">
        <f>SUM(K39)</f>
        <v>0</v>
      </c>
      <c r="L38" s="164">
        <f t="shared" si="29"/>
        <v>20000</v>
      </c>
      <c r="M38" s="164">
        <f>SUM(M39)</f>
        <v>0</v>
      </c>
      <c r="N38" s="164">
        <f t="shared" si="27"/>
        <v>20000</v>
      </c>
      <c r="O38" s="164">
        <f>SUM(O39)</f>
        <v>0</v>
      </c>
      <c r="P38" s="164">
        <f t="shared" si="18"/>
        <v>20000</v>
      </c>
      <c r="Q38" s="164">
        <f>SUM(Q39)</f>
        <v>0</v>
      </c>
      <c r="R38" s="164">
        <f t="shared" si="19"/>
        <v>20000</v>
      </c>
      <c r="S38" s="164">
        <f>SUM(S39)</f>
        <v>0</v>
      </c>
      <c r="T38" s="164">
        <f t="shared" si="20"/>
        <v>20000</v>
      </c>
      <c r="U38" s="164">
        <f>SUM(U39)</f>
        <v>0</v>
      </c>
      <c r="V38" s="164">
        <f t="shared" si="21"/>
        <v>20000</v>
      </c>
      <c r="W38" s="164">
        <f>SUM(W39)</f>
        <v>0</v>
      </c>
      <c r="X38" s="164">
        <f t="shared" si="22"/>
        <v>20000</v>
      </c>
      <c r="Y38" s="164">
        <f>SUM(Y39)</f>
        <v>0</v>
      </c>
      <c r="Z38" s="164">
        <f t="shared" si="23"/>
        <v>20000</v>
      </c>
      <c r="AA38" s="164">
        <f>SUM(AA39)</f>
        <v>0</v>
      </c>
      <c r="AB38" s="164">
        <f t="shared" si="24"/>
        <v>20000</v>
      </c>
      <c r="AC38" s="164">
        <f>SUM(AC39)</f>
        <v>0</v>
      </c>
      <c r="AD38" s="164">
        <f t="shared" si="25"/>
        <v>20000</v>
      </c>
    </row>
    <row r="39" spans="1:30" s="23" customFormat="1" ht="22.5" customHeight="1">
      <c r="A39" s="42"/>
      <c r="B39" s="41"/>
      <c r="C39" s="43"/>
      <c r="D39" s="44" t="s">
        <v>299</v>
      </c>
      <c r="E39" s="91">
        <v>0</v>
      </c>
      <c r="F39" s="91">
        <v>0</v>
      </c>
      <c r="G39" s="174">
        <v>20000</v>
      </c>
      <c r="H39" s="166">
        <f t="shared" si="12"/>
        <v>20000</v>
      </c>
      <c r="I39" s="164"/>
      <c r="J39" s="166">
        <f t="shared" si="13"/>
        <v>20000</v>
      </c>
      <c r="K39" s="164"/>
      <c r="L39" s="166">
        <f t="shared" si="29"/>
        <v>20000</v>
      </c>
      <c r="M39" s="164"/>
      <c r="N39" s="166">
        <f t="shared" si="27"/>
        <v>20000</v>
      </c>
      <c r="O39" s="164"/>
      <c r="P39" s="166">
        <f t="shared" si="18"/>
        <v>20000</v>
      </c>
      <c r="Q39" s="164"/>
      <c r="R39" s="166">
        <f t="shared" si="19"/>
        <v>20000</v>
      </c>
      <c r="S39" s="164"/>
      <c r="T39" s="166">
        <f t="shared" si="20"/>
        <v>20000</v>
      </c>
      <c r="U39" s="164"/>
      <c r="V39" s="166">
        <f t="shared" si="21"/>
        <v>20000</v>
      </c>
      <c r="W39" s="164"/>
      <c r="X39" s="166">
        <f t="shared" si="22"/>
        <v>20000</v>
      </c>
      <c r="Y39" s="164"/>
      <c r="Z39" s="166">
        <f t="shared" si="23"/>
        <v>20000</v>
      </c>
      <c r="AA39" s="164">
        <v>0</v>
      </c>
      <c r="AB39" s="166">
        <f t="shared" si="24"/>
        <v>20000</v>
      </c>
      <c r="AC39" s="164">
        <v>0</v>
      </c>
      <c r="AD39" s="166">
        <f t="shared" si="25"/>
        <v>20000</v>
      </c>
    </row>
    <row r="40" spans="1:30" s="148" customFormat="1" ht="21" customHeight="1">
      <c r="A40" s="157">
        <v>750</v>
      </c>
      <c r="B40" s="158"/>
      <c r="C40" s="159"/>
      <c r="D40" s="160" t="s">
        <v>82</v>
      </c>
      <c r="E40" s="147">
        <f aca="true" t="shared" si="30" ref="E40:G42">SUM(E41)</f>
        <v>150000</v>
      </c>
      <c r="F40" s="147">
        <f t="shared" si="30"/>
        <v>-100000</v>
      </c>
      <c r="G40" s="147">
        <f t="shared" si="30"/>
        <v>0</v>
      </c>
      <c r="H40" s="38">
        <f t="shared" si="12"/>
        <v>50000</v>
      </c>
      <c r="I40" s="38">
        <f>SUM(I41)</f>
        <v>0</v>
      </c>
      <c r="J40" s="38">
        <f t="shared" si="13"/>
        <v>50000</v>
      </c>
      <c r="K40" s="38">
        <f>SUM(K41)</f>
        <v>0</v>
      </c>
      <c r="L40" s="38">
        <f t="shared" si="29"/>
        <v>50000</v>
      </c>
      <c r="M40" s="38">
        <f>SUM(M41)</f>
        <v>0</v>
      </c>
      <c r="N40" s="38">
        <f t="shared" si="27"/>
        <v>50000</v>
      </c>
      <c r="O40" s="38">
        <f>SUM(O41)</f>
        <v>0</v>
      </c>
      <c r="P40" s="38">
        <f t="shared" si="18"/>
        <v>50000</v>
      </c>
      <c r="Q40" s="38">
        <f>SUM(Q41)</f>
        <v>0</v>
      </c>
      <c r="R40" s="38">
        <f t="shared" si="19"/>
        <v>50000</v>
      </c>
      <c r="S40" s="38">
        <f>SUM(S41)</f>
        <v>0</v>
      </c>
      <c r="T40" s="38">
        <f t="shared" si="20"/>
        <v>50000</v>
      </c>
      <c r="U40" s="38">
        <f>SUM(U41)</f>
        <v>0</v>
      </c>
      <c r="V40" s="38">
        <f t="shared" si="21"/>
        <v>50000</v>
      </c>
      <c r="W40" s="38">
        <f>SUM(W41)</f>
        <v>0</v>
      </c>
      <c r="X40" s="38">
        <f t="shared" si="22"/>
        <v>50000</v>
      </c>
      <c r="Y40" s="38">
        <f>SUM(Y41)</f>
        <v>0</v>
      </c>
      <c r="Z40" s="38">
        <f t="shared" si="23"/>
        <v>50000</v>
      </c>
      <c r="AA40" s="38">
        <f>SUM(AA41)</f>
        <v>-15360</v>
      </c>
      <c r="AB40" s="38">
        <f t="shared" si="24"/>
        <v>34640</v>
      </c>
      <c r="AC40" s="38">
        <f>SUM(AC41)</f>
        <v>0</v>
      </c>
      <c r="AD40" s="38">
        <f t="shared" si="25"/>
        <v>34640</v>
      </c>
    </row>
    <row r="41" spans="1:30" s="122" customFormat="1" ht="21" customHeight="1">
      <c r="A41" s="123"/>
      <c r="B41" s="130">
        <v>75023</v>
      </c>
      <c r="C41" s="131"/>
      <c r="D41" s="132" t="s">
        <v>19</v>
      </c>
      <c r="E41" s="146">
        <f t="shared" si="30"/>
        <v>150000</v>
      </c>
      <c r="F41" s="146">
        <f t="shared" si="30"/>
        <v>-100000</v>
      </c>
      <c r="G41" s="146">
        <f t="shared" si="30"/>
        <v>0</v>
      </c>
      <c r="H41" s="164">
        <f t="shared" si="12"/>
        <v>50000</v>
      </c>
      <c r="I41" s="164">
        <f>SUM(I42)</f>
        <v>0</v>
      </c>
      <c r="J41" s="164">
        <f t="shared" si="13"/>
        <v>50000</v>
      </c>
      <c r="K41" s="164">
        <f>SUM(K42)</f>
        <v>0</v>
      </c>
      <c r="L41" s="164">
        <f t="shared" si="29"/>
        <v>50000</v>
      </c>
      <c r="M41" s="164">
        <f>SUM(M42)</f>
        <v>0</v>
      </c>
      <c r="N41" s="164">
        <f t="shared" si="27"/>
        <v>50000</v>
      </c>
      <c r="O41" s="164">
        <f>SUM(O42)</f>
        <v>0</v>
      </c>
      <c r="P41" s="164">
        <f t="shared" si="18"/>
        <v>50000</v>
      </c>
      <c r="Q41" s="164">
        <f>SUM(Q42)</f>
        <v>0</v>
      </c>
      <c r="R41" s="164">
        <f t="shared" si="19"/>
        <v>50000</v>
      </c>
      <c r="S41" s="164">
        <f>SUM(S42)</f>
        <v>0</v>
      </c>
      <c r="T41" s="164">
        <f t="shared" si="20"/>
        <v>50000</v>
      </c>
      <c r="U41" s="164">
        <f>SUM(U42)</f>
        <v>0</v>
      </c>
      <c r="V41" s="164">
        <f t="shared" si="21"/>
        <v>50000</v>
      </c>
      <c r="W41" s="164">
        <f>SUM(W42)</f>
        <v>0</v>
      </c>
      <c r="X41" s="164">
        <f t="shared" si="22"/>
        <v>50000</v>
      </c>
      <c r="Y41" s="164">
        <f>SUM(Y42)</f>
        <v>0</v>
      </c>
      <c r="Z41" s="164">
        <f t="shared" si="23"/>
        <v>50000</v>
      </c>
      <c r="AA41" s="164">
        <f>SUM(AA42)</f>
        <v>-15360</v>
      </c>
      <c r="AB41" s="164">
        <f t="shared" si="24"/>
        <v>34640</v>
      </c>
      <c r="AC41" s="164">
        <f>SUM(AC42)</f>
        <v>0</v>
      </c>
      <c r="AD41" s="164">
        <f t="shared" si="25"/>
        <v>34640</v>
      </c>
    </row>
    <row r="42" spans="1:30" s="122" customFormat="1" ht="21" customHeight="1">
      <c r="A42" s="123"/>
      <c r="B42" s="130"/>
      <c r="C42" s="131">
        <v>6050</v>
      </c>
      <c r="D42" s="12" t="s">
        <v>72</v>
      </c>
      <c r="E42" s="146">
        <f t="shared" si="30"/>
        <v>150000</v>
      </c>
      <c r="F42" s="146">
        <f t="shared" si="30"/>
        <v>-100000</v>
      </c>
      <c r="G42" s="146">
        <f t="shared" si="30"/>
        <v>0</v>
      </c>
      <c r="H42" s="164">
        <f t="shared" si="12"/>
        <v>50000</v>
      </c>
      <c r="I42" s="164">
        <f>SUM(I43)</f>
        <v>0</v>
      </c>
      <c r="J42" s="164">
        <f t="shared" si="13"/>
        <v>50000</v>
      </c>
      <c r="K42" s="164">
        <f>SUM(K43)</f>
        <v>0</v>
      </c>
      <c r="L42" s="164">
        <f t="shared" si="29"/>
        <v>50000</v>
      </c>
      <c r="M42" s="164">
        <f>SUM(M43)</f>
        <v>0</v>
      </c>
      <c r="N42" s="164">
        <f t="shared" si="27"/>
        <v>50000</v>
      </c>
      <c r="O42" s="164">
        <f>SUM(O43)</f>
        <v>0</v>
      </c>
      <c r="P42" s="164">
        <f t="shared" si="18"/>
        <v>50000</v>
      </c>
      <c r="Q42" s="164">
        <f>SUM(Q43)</f>
        <v>0</v>
      </c>
      <c r="R42" s="164">
        <f t="shared" si="19"/>
        <v>50000</v>
      </c>
      <c r="S42" s="164">
        <f>SUM(S43)</f>
        <v>0</v>
      </c>
      <c r="T42" s="164">
        <f t="shared" si="20"/>
        <v>50000</v>
      </c>
      <c r="U42" s="164">
        <f>SUM(U43)</f>
        <v>0</v>
      </c>
      <c r="V42" s="164">
        <f t="shared" si="21"/>
        <v>50000</v>
      </c>
      <c r="W42" s="164">
        <f>SUM(W43)</f>
        <v>0</v>
      </c>
      <c r="X42" s="164">
        <f t="shared" si="22"/>
        <v>50000</v>
      </c>
      <c r="Y42" s="164">
        <f>SUM(Y43)</f>
        <v>0</v>
      </c>
      <c r="Z42" s="164">
        <f t="shared" si="23"/>
        <v>50000</v>
      </c>
      <c r="AA42" s="164">
        <f>SUM(AA43)</f>
        <v>-15360</v>
      </c>
      <c r="AB42" s="164">
        <f t="shared" si="24"/>
        <v>34640</v>
      </c>
      <c r="AC42" s="164">
        <f>SUM(AC43)</f>
        <v>0</v>
      </c>
      <c r="AD42" s="164">
        <f t="shared" si="25"/>
        <v>34640</v>
      </c>
    </row>
    <row r="43" spans="1:30" s="23" customFormat="1" ht="21" customHeight="1">
      <c r="A43" s="42"/>
      <c r="B43" s="41"/>
      <c r="C43" s="43"/>
      <c r="D43" s="44" t="s">
        <v>272</v>
      </c>
      <c r="E43" s="91">
        <v>150000</v>
      </c>
      <c r="F43" s="174">
        <v>-100000</v>
      </c>
      <c r="G43" s="91"/>
      <c r="H43" s="166">
        <f t="shared" si="12"/>
        <v>50000</v>
      </c>
      <c r="I43" s="164"/>
      <c r="J43" s="166">
        <f t="shared" si="13"/>
        <v>50000</v>
      </c>
      <c r="K43" s="164"/>
      <c r="L43" s="166">
        <f t="shared" si="29"/>
        <v>50000</v>
      </c>
      <c r="M43" s="164"/>
      <c r="N43" s="166">
        <f t="shared" si="27"/>
        <v>50000</v>
      </c>
      <c r="O43" s="164"/>
      <c r="P43" s="166">
        <f t="shared" si="18"/>
        <v>50000</v>
      </c>
      <c r="Q43" s="164"/>
      <c r="R43" s="166">
        <f t="shared" si="19"/>
        <v>50000</v>
      </c>
      <c r="S43" s="164"/>
      <c r="T43" s="166">
        <f t="shared" si="20"/>
        <v>50000</v>
      </c>
      <c r="U43" s="164"/>
      <c r="V43" s="166">
        <f t="shared" si="21"/>
        <v>50000</v>
      </c>
      <c r="W43" s="164"/>
      <c r="X43" s="166">
        <f t="shared" si="22"/>
        <v>50000</v>
      </c>
      <c r="Y43" s="164"/>
      <c r="Z43" s="166">
        <f t="shared" si="23"/>
        <v>50000</v>
      </c>
      <c r="AA43" s="164">
        <f>-35360+20000</f>
        <v>-15360</v>
      </c>
      <c r="AB43" s="166">
        <f t="shared" si="24"/>
        <v>34640</v>
      </c>
      <c r="AC43" s="164"/>
      <c r="AD43" s="166">
        <f t="shared" si="25"/>
        <v>34640</v>
      </c>
    </row>
    <row r="44" spans="1:30" s="39" customFormat="1" ht="23.25" customHeight="1">
      <c r="A44" s="28">
        <v>754</v>
      </c>
      <c r="B44" s="3"/>
      <c r="C44" s="11"/>
      <c r="D44" s="18" t="s">
        <v>23</v>
      </c>
      <c r="E44" s="40">
        <f>SUM(E48,E54)</f>
        <v>25000</v>
      </c>
      <c r="F44" s="40">
        <f>SUM(F48,F54)</f>
        <v>0</v>
      </c>
      <c r="G44" s="40">
        <f>SUM(G48,G54)</f>
        <v>290000</v>
      </c>
      <c r="H44" s="40">
        <f>SUM(H48,H54)</f>
        <v>315000</v>
      </c>
      <c r="I44" s="40">
        <f>SUM(I48,I54,)</f>
        <v>0</v>
      </c>
      <c r="J44" s="38">
        <f t="shared" si="13"/>
        <v>315000</v>
      </c>
      <c r="K44" s="40">
        <f>SUM(K48,K54,)</f>
        <v>0</v>
      </c>
      <c r="L44" s="38">
        <f t="shared" si="29"/>
        <v>315000</v>
      </c>
      <c r="M44" s="40">
        <f>SUM(M48,M54,)</f>
        <v>0</v>
      </c>
      <c r="N44" s="38">
        <f t="shared" si="27"/>
        <v>315000</v>
      </c>
      <c r="O44" s="40">
        <f>SUM(O48,O54,)</f>
        <v>-72755</v>
      </c>
      <c r="P44" s="38">
        <f t="shared" si="18"/>
        <v>242245</v>
      </c>
      <c r="Q44" s="40">
        <f>SUM(Q48,Q54,)</f>
        <v>0</v>
      </c>
      <c r="R44" s="38">
        <f t="shared" si="19"/>
        <v>242245</v>
      </c>
      <c r="S44" s="40">
        <f aca="true" t="shared" si="31" ref="S44:X44">SUM(S48,S54,S45)</f>
        <v>8000</v>
      </c>
      <c r="T44" s="40">
        <f t="shared" si="31"/>
        <v>250245</v>
      </c>
      <c r="U44" s="40">
        <f t="shared" si="31"/>
        <v>0</v>
      </c>
      <c r="V44" s="40">
        <f t="shared" si="31"/>
        <v>250245</v>
      </c>
      <c r="W44" s="40">
        <f t="shared" si="31"/>
        <v>0</v>
      </c>
      <c r="X44" s="40">
        <f t="shared" si="31"/>
        <v>250245</v>
      </c>
      <c r="Y44" s="40">
        <f aca="true" t="shared" si="32" ref="Y44:AD44">SUM(Y48,Y54,Y45)</f>
        <v>0</v>
      </c>
      <c r="Z44" s="40">
        <f t="shared" si="32"/>
        <v>250245</v>
      </c>
      <c r="AA44" s="40">
        <f t="shared" si="32"/>
        <v>-2400</v>
      </c>
      <c r="AB44" s="40">
        <f t="shared" si="32"/>
        <v>247845</v>
      </c>
      <c r="AC44" s="40">
        <f t="shared" si="32"/>
        <v>0</v>
      </c>
      <c r="AD44" s="40">
        <f t="shared" si="32"/>
        <v>247845</v>
      </c>
    </row>
    <row r="45" spans="1:30" s="122" customFormat="1" ht="23.25" customHeight="1">
      <c r="A45" s="123"/>
      <c r="B45" s="130">
        <v>75405</v>
      </c>
      <c r="C45" s="196"/>
      <c r="D45" s="132" t="s">
        <v>425</v>
      </c>
      <c r="E45" s="146"/>
      <c r="F45" s="146"/>
      <c r="G45" s="146"/>
      <c r="H45" s="146"/>
      <c r="I45" s="146"/>
      <c r="J45" s="164"/>
      <c r="K45" s="146"/>
      <c r="L45" s="164"/>
      <c r="M45" s="146"/>
      <c r="N45" s="164"/>
      <c r="O45" s="146"/>
      <c r="P45" s="164"/>
      <c r="Q45" s="146"/>
      <c r="R45" s="164">
        <f aca="true" t="shared" si="33" ref="R45:AD46">SUM(R46)</f>
        <v>0</v>
      </c>
      <c r="S45" s="164">
        <f t="shared" si="33"/>
        <v>8000</v>
      </c>
      <c r="T45" s="164">
        <f t="shared" si="33"/>
        <v>8000</v>
      </c>
      <c r="U45" s="164">
        <f t="shared" si="33"/>
        <v>0</v>
      </c>
      <c r="V45" s="164">
        <f t="shared" si="33"/>
        <v>8000</v>
      </c>
      <c r="W45" s="164">
        <f t="shared" si="33"/>
        <v>0</v>
      </c>
      <c r="X45" s="164">
        <f t="shared" si="33"/>
        <v>8000</v>
      </c>
      <c r="Y45" s="164">
        <f t="shared" si="33"/>
        <v>0</v>
      </c>
      <c r="Z45" s="164">
        <f t="shared" si="33"/>
        <v>8000</v>
      </c>
      <c r="AA45" s="164">
        <f t="shared" si="33"/>
        <v>-2400</v>
      </c>
      <c r="AB45" s="164">
        <f t="shared" si="33"/>
        <v>5600</v>
      </c>
      <c r="AC45" s="164">
        <f t="shared" si="33"/>
        <v>0</v>
      </c>
      <c r="AD45" s="164">
        <f t="shared" si="33"/>
        <v>5600</v>
      </c>
    </row>
    <row r="46" spans="1:30" s="122" customFormat="1" ht="23.25" customHeight="1">
      <c r="A46" s="123"/>
      <c r="B46" s="130"/>
      <c r="C46" s="196">
        <v>6060</v>
      </c>
      <c r="D46" s="12" t="s">
        <v>95</v>
      </c>
      <c r="E46" s="146"/>
      <c r="F46" s="146"/>
      <c r="G46" s="146"/>
      <c r="H46" s="146"/>
      <c r="I46" s="146"/>
      <c r="J46" s="164"/>
      <c r="K46" s="146"/>
      <c r="L46" s="164"/>
      <c r="M46" s="146"/>
      <c r="N46" s="164"/>
      <c r="O46" s="146"/>
      <c r="P46" s="164"/>
      <c r="Q46" s="146"/>
      <c r="R46" s="164">
        <f t="shared" si="33"/>
        <v>0</v>
      </c>
      <c r="S46" s="164">
        <f t="shared" si="33"/>
        <v>8000</v>
      </c>
      <c r="T46" s="164">
        <f t="shared" si="33"/>
        <v>8000</v>
      </c>
      <c r="U46" s="164">
        <f t="shared" si="33"/>
        <v>0</v>
      </c>
      <c r="V46" s="164">
        <f t="shared" si="33"/>
        <v>8000</v>
      </c>
      <c r="W46" s="164">
        <f t="shared" si="33"/>
        <v>0</v>
      </c>
      <c r="X46" s="164">
        <f t="shared" si="33"/>
        <v>8000</v>
      </c>
      <c r="Y46" s="164">
        <f t="shared" si="33"/>
        <v>0</v>
      </c>
      <c r="Z46" s="164">
        <f t="shared" si="33"/>
        <v>8000</v>
      </c>
      <c r="AA46" s="164">
        <f t="shared" si="33"/>
        <v>-2400</v>
      </c>
      <c r="AB46" s="164">
        <f t="shared" si="33"/>
        <v>5600</v>
      </c>
      <c r="AC46" s="164">
        <f t="shared" si="33"/>
        <v>0</v>
      </c>
      <c r="AD46" s="164">
        <f t="shared" si="33"/>
        <v>5600</v>
      </c>
    </row>
    <row r="47" spans="1:30" s="139" customFormat="1" ht="23.25" customHeight="1">
      <c r="A47" s="136"/>
      <c r="B47" s="137"/>
      <c r="C47" s="219"/>
      <c r="D47" s="128" t="s">
        <v>426</v>
      </c>
      <c r="E47" s="140"/>
      <c r="F47" s="140"/>
      <c r="G47" s="140"/>
      <c r="H47" s="140"/>
      <c r="I47" s="140"/>
      <c r="J47" s="166"/>
      <c r="K47" s="140"/>
      <c r="L47" s="166"/>
      <c r="M47" s="140"/>
      <c r="N47" s="166"/>
      <c r="O47" s="140"/>
      <c r="P47" s="166"/>
      <c r="Q47" s="140"/>
      <c r="R47" s="166">
        <v>0</v>
      </c>
      <c r="S47" s="140">
        <v>8000</v>
      </c>
      <c r="T47" s="166">
        <f>SUM(R47:S47)</f>
        <v>8000</v>
      </c>
      <c r="U47" s="140"/>
      <c r="V47" s="166">
        <f aca="true" t="shared" si="34" ref="V47:V54">SUM(T47:U47)</f>
        <v>8000</v>
      </c>
      <c r="W47" s="140"/>
      <c r="X47" s="166">
        <f aca="true" t="shared" si="35" ref="X47:X54">SUM(V47:W47)</f>
        <v>8000</v>
      </c>
      <c r="Y47" s="140"/>
      <c r="Z47" s="166">
        <f aca="true" t="shared" si="36" ref="Z47:Z54">SUM(X47:Y47)</f>
        <v>8000</v>
      </c>
      <c r="AA47" s="140">
        <v>-2400</v>
      </c>
      <c r="AB47" s="166">
        <f aca="true" t="shared" si="37" ref="AB47:AB54">SUM(Z47:AA47)</f>
        <v>5600</v>
      </c>
      <c r="AC47" s="140"/>
      <c r="AD47" s="166">
        <f aca="true" t="shared" si="38" ref="AD47:AD54">SUM(AB47:AC47)</f>
        <v>5600</v>
      </c>
    </row>
    <row r="48" spans="1:30" s="23" customFormat="1" ht="21" customHeight="1">
      <c r="A48" s="69"/>
      <c r="B48" s="79">
        <v>75412</v>
      </c>
      <c r="C48" s="83"/>
      <c r="D48" s="37" t="s">
        <v>99</v>
      </c>
      <c r="E48" s="88">
        <f>SUM(E49,E52)</f>
        <v>25000</v>
      </c>
      <c r="F48" s="88">
        <f>SUM(F49,F52)</f>
        <v>0</v>
      </c>
      <c r="G48" s="88">
        <f>SUM(G49,G52)</f>
        <v>220000</v>
      </c>
      <c r="H48" s="88">
        <f>SUM(H49,H52)</f>
        <v>245000</v>
      </c>
      <c r="I48" s="88">
        <f>SUM(I49,I52,)</f>
        <v>0</v>
      </c>
      <c r="J48" s="164">
        <f t="shared" si="13"/>
        <v>245000</v>
      </c>
      <c r="K48" s="88">
        <f>SUM(K49,K52,)</f>
        <v>0</v>
      </c>
      <c r="L48" s="164">
        <f t="shared" si="29"/>
        <v>245000</v>
      </c>
      <c r="M48" s="88">
        <f>SUM(M49,M52,)</f>
        <v>0</v>
      </c>
      <c r="N48" s="164">
        <f t="shared" si="27"/>
        <v>245000</v>
      </c>
      <c r="O48" s="88">
        <f>SUM(O49,O52,)</f>
        <v>-2755</v>
      </c>
      <c r="P48" s="164">
        <f t="shared" si="18"/>
        <v>242245</v>
      </c>
      <c r="Q48" s="88">
        <f>SUM(Q49,Q52,)</f>
        <v>0</v>
      </c>
      <c r="R48" s="164">
        <f t="shared" si="19"/>
        <v>242245</v>
      </c>
      <c r="S48" s="88">
        <f>SUM(S49,S52,)</f>
        <v>0</v>
      </c>
      <c r="T48" s="164">
        <f t="shared" si="20"/>
        <v>242245</v>
      </c>
      <c r="U48" s="88">
        <f>SUM(U49,U52,)</f>
        <v>0</v>
      </c>
      <c r="V48" s="164">
        <f t="shared" si="34"/>
        <v>242245</v>
      </c>
      <c r="W48" s="88">
        <f>SUM(W49,W52,)</f>
        <v>0</v>
      </c>
      <c r="X48" s="164">
        <f t="shared" si="35"/>
        <v>242245</v>
      </c>
      <c r="Y48" s="88">
        <f>SUM(Y49,Y52,)</f>
        <v>0</v>
      </c>
      <c r="Z48" s="164">
        <f t="shared" si="36"/>
        <v>242245</v>
      </c>
      <c r="AA48" s="88">
        <f>SUM(AA49,AA52,)</f>
        <v>0</v>
      </c>
      <c r="AB48" s="164">
        <f t="shared" si="37"/>
        <v>242245</v>
      </c>
      <c r="AC48" s="88">
        <f>SUM(AC49,AC52,)</f>
        <v>0</v>
      </c>
      <c r="AD48" s="164">
        <f t="shared" si="38"/>
        <v>242245</v>
      </c>
    </row>
    <row r="49" spans="1:30" s="23" customFormat="1" ht="21" customHeight="1">
      <c r="A49" s="70"/>
      <c r="B49" s="64"/>
      <c r="C49" s="83">
        <v>6050</v>
      </c>
      <c r="D49" s="12" t="s">
        <v>72</v>
      </c>
      <c r="E49" s="88">
        <f>SUM(E50:E51)</f>
        <v>0</v>
      </c>
      <c r="F49" s="88">
        <f>SUM(F50:F51)</f>
        <v>0</v>
      </c>
      <c r="G49" s="88">
        <f>SUM(G50:G51)</f>
        <v>220000</v>
      </c>
      <c r="H49" s="88">
        <f>SUM(H50:H51)</f>
        <v>220000</v>
      </c>
      <c r="I49" s="88">
        <f>SUM(I50:I51)</f>
        <v>0</v>
      </c>
      <c r="J49" s="164">
        <f t="shared" si="13"/>
        <v>220000</v>
      </c>
      <c r="K49" s="88">
        <f>SUM(K50:K51)</f>
        <v>0</v>
      </c>
      <c r="L49" s="164">
        <f t="shared" si="29"/>
        <v>220000</v>
      </c>
      <c r="M49" s="88">
        <f>SUM(M50:M51)</f>
        <v>0</v>
      </c>
      <c r="N49" s="164">
        <f t="shared" si="27"/>
        <v>220000</v>
      </c>
      <c r="O49" s="88">
        <f>SUM(O50:O51)</f>
        <v>0</v>
      </c>
      <c r="P49" s="164">
        <f t="shared" si="18"/>
        <v>220000</v>
      </c>
      <c r="Q49" s="88">
        <f>SUM(Q50:Q51)</f>
        <v>0</v>
      </c>
      <c r="R49" s="164">
        <f t="shared" si="19"/>
        <v>220000</v>
      </c>
      <c r="S49" s="88">
        <f>SUM(S50:S51)</f>
        <v>0</v>
      </c>
      <c r="T49" s="164">
        <f t="shared" si="20"/>
        <v>220000</v>
      </c>
      <c r="U49" s="88">
        <f>SUM(U50:U51)</f>
        <v>0</v>
      </c>
      <c r="V49" s="164">
        <f t="shared" si="34"/>
        <v>220000</v>
      </c>
      <c r="W49" s="88">
        <f>SUM(W50:W51)</f>
        <v>0</v>
      </c>
      <c r="X49" s="164">
        <f t="shared" si="35"/>
        <v>220000</v>
      </c>
      <c r="Y49" s="88">
        <f>SUM(Y50:Y51)</f>
        <v>0</v>
      </c>
      <c r="Z49" s="164">
        <f t="shared" si="36"/>
        <v>220000</v>
      </c>
      <c r="AA49" s="88">
        <f>SUM(AA50:AA51)</f>
        <v>0</v>
      </c>
      <c r="AB49" s="164">
        <f t="shared" si="37"/>
        <v>220000</v>
      </c>
      <c r="AC49" s="88">
        <f>SUM(AC50:AC51)</f>
        <v>0</v>
      </c>
      <c r="AD49" s="164">
        <f t="shared" si="38"/>
        <v>220000</v>
      </c>
    </row>
    <row r="50" spans="1:30" s="139" customFormat="1" ht="26.25" customHeight="1">
      <c r="A50" s="156"/>
      <c r="B50" s="167"/>
      <c r="C50" s="168"/>
      <c r="D50" s="175" t="s">
        <v>297</v>
      </c>
      <c r="E50" s="140">
        <v>0</v>
      </c>
      <c r="F50" s="140"/>
      <c r="G50" s="140">
        <v>200000</v>
      </c>
      <c r="H50" s="166">
        <f t="shared" si="12"/>
        <v>200000</v>
      </c>
      <c r="I50" s="166"/>
      <c r="J50" s="166">
        <f t="shared" si="13"/>
        <v>200000</v>
      </c>
      <c r="K50" s="166"/>
      <c r="L50" s="166">
        <f t="shared" si="29"/>
        <v>200000</v>
      </c>
      <c r="M50" s="166"/>
      <c r="N50" s="166">
        <f t="shared" si="27"/>
        <v>200000</v>
      </c>
      <c r="O50" s="166"/>
      <c r="P50" s="166">
        <f t="shared" si="18"/>
        <v>200000</v>
      </c>
      <c r="Q50" s="166"/>
      <c r="R50" s="166">
        <f t="shared" si="19"/>
        <v>200000</v>
      </c>
      <c r="S50" s="166"/>
      <c r="T50" s="166">
        <f t="shared" si="20"/>
        <v>200000</v>
      </c>
      <c r="U50" s="166"/>
      <c r="V50" s="166">
        <f t="shared" si="34"/>
        <v>200000</v>
      </c>
      <c r="W50" s="166"/>
      <c r="X50" s="166">
        <f t="shared" si="35"/>
        <v>200000</v>
      </c>
      <c r="Y50" s="166"/>
      <c r="Z50" s="166">
        <f t="shared" si="36"/>
        <v>200000</v>
      </c>
      <c r="AA50" s="166"/>
      <c r="AB50" s="166">
        <f t="shared" si="37"/>
        <v>200000</v>
      </c>
      <c r="AC50" s="166"/>
      <c r="AD50" s="166">
        <f t="shared" si="38"/>
        <v>200000</v>
      </c>
    </row>
    <row r="51" spans="1:30" s="139" customFormat="1" ht="21" customHeight="1">
      <c r="A51" s="136"/>
      <c r="B51" s="167"/>
      <c r="C51" s="171"/>
      <c r="D51" s="175" t="s">
        <v>290</v>
      </c>
      <c r="E51" s="140">
        <v>0</v>
      </c>
      <c r="F51" s="140"/>
      <c r="G51" s="140">
        <v>20000</v>
      </c>
      <c r="H51" s="166">
        <f t="shared" si="12"/>
        <v>20000</v>
      </c>
      <c r="I51" s="166"/>
      <c r="J51" s="166">
        <f t="shared" si="13"/>
        <v>20000</v>
      </c>
      <c r="K51" s="166"/>
      <c r="L51" s="166">
        <f t="shared" si="29"/>
        <v>20000</v>
      </c>
      <c r="M51" s="166"/>
      <c r="N51" s="166">
        <f t="shared" si="27"/>
        <v>20000</v>
      </c>
      <c r="O51" s="166"/>
      <c r="P51" s="166">
        <f t="shared" si="18"/>
        <v>20000</v>
      </c>
      <c r="Q51" s="166"/>
      <c r="R51" s="166">
        <f t="shared" si="19"/>
        <v>20000</v>
      </c>
      <c r="S51" s="166"/>
      <c r="T51" s="166">
        <f t="shared" si="20"/>
        <v>20000</v>
      </c>
      <c r="U51" s="166"/>
      <c r="V51" s="166">
        <f t="shared" si="34"/>
        <v>20000</v>
      </c>
      <c r="W51" s="166"/>
      <c r="X51" s="166">
        <f t="shared" si="35"/>
        <v>20000</v>
      </c>
      <c r="Y51" s="166"/>
      <c r="Z51" s="166">
        <f t="shared" si="36"/>
        <v>20000</v>
      </c>
      <c r="AA51" s="166"/>
      <c r="AB51" s="166">
        <f t="shared" si="37"/>
        <v>20000</v>
      </c>
      <c r="AC51" s="166"/>
      <c r="AD51" s="166">
        <f t="shared" si="38"/>
        <v>20000</v>
      </c>
    </row>
    <row r="52" spans="1:30" s="23" customFormat="1" ht="22.5" customHeight="1">
      <c r="A52" s="69"/>
      <c r="B52" s="46"/>
      <c r="C52" s="72">
        <v>6060</v>
      </c>
      <c r="D52" s="12" t="s">
        <v>95</v>
      </c>
      <c r="E52" s="88">
        <f>SUM(E53)</f>
        <v>25000</v>
      </c>
      <c r="F52" s="88">
        <f>SUM(F53)</f>
        <v>0</v>
      </c>
      <c r="G52" s="88">
        <f>SUM(G53)</f>
        <v>0</v>
      </c>
      <c r="H52" s="164">
        <f t="shared" si="12"/>
        <v>25000</v>
      </c>
      <c r="I52" s="164">
        <f>SUM(I53)</f>
        <v>0</v>
      </c>
      <c r="J52" s="164">
        <f t="shared" si="13"/>
        <v>25000</v>
      </c>
      <c r="K52" s="164">
        <f>SUM(K53)</f>
        <v>0</v>
      </c>
      <c r="L52" s="164">
        <f t="shared" si="29"/>
        <v>25000</v>
      </c>
      <c r="M52" s="164">
        <f>SUM(M53)</f>
        <v>0</v>
      </c>
      <c r="N52" s="164">
        <f t="shared" si="27"/>
        <v>25000</v>
      </c>
      <c r="O52" s="164">
        <f>SUM(O53)</f>
        <v>-2755</v>
      </c>
      <c r="P52" s="164">
        <f t="shared" si="18"/>
        <v>22245</v>
      </c>
      <c r="Q52" s="164">
        <f>SUM(Q53)</f>
        <v>0</v>
      </c>
      <c r="R52" s="164">
        <f t="shared" si="19"/>
        <v>22245</v>
      </c>
      <c r="S52" s="164">
        <f>SUM(S53)</f>
        <v>0</v>
      </c>
      <c r="T52" s="164">
        <f t="shared" si="20"/>
        <v>22245</v>
      </c>
      <c r="U52" s="164">
        <f>SUM(U53)</f>
        <v>0</v>
      </c>
      <c r="V52" s="164">
        <f t="shared" si="34"/>
        <v>22245</v>
      </c>
      <c r="W52" s="164">
        <f>SUM(W53)</f>
        <v>0</v>
      </c>
      <c r="X52" s="164">
        <f t="shared" si="35"/>
        <v>22245</v>
      </c>
      <c r="Y52" s="164">
        <f>SUM(Y53)</f>
        <v>0</v>
      </c>
      <c r="Z52" s="164">
        <f t="shared" si="36"/>
        <v>22245</v>
      </c>
      <c r="AA52" s="164">
        <f>SUM(AA53)</f>
        <v>0</v>
      </c>
      <c r="AB52" s="164">
        <f t="shared" si="37"/>
        <v>22245</v>
      </c>
      <c r="AC52" s="164">
        <f>SUM(AC53)</f>
        <v>0</v>
      </c>
      <c r="AD52" s="164">
        <f t="shared" si="38"/>
        <v>22245</v>
      </c>
    </row>
    <row r="53" spans="1:30" s="25" customFormat="1" ht="19.5" customHeight="1">
      <c r="A53" s="42"/>
      <c r="B53" s="41"/>
      <c r="C53" s="43"/>
      <c r="D53" s="44" t="s">
        <v>266</v>
      </c>
      <c r="E53" s="91">
        <v>25000</v>
      </c>
      <c r="F53" s="91"/>
      <c r="G53" s="91"/>
      <c r="H53" s="164">
        <f t="shared" si="12"/>
        <v>25000</v>
      </c>
      <c r="I53" s="164"/>
      <c r="J53" s="166">
        <f t="shared" si="13"/>
        <v>25000</v>
      </c>
      <c r="K53" s="164"/>
      <c r="L53" s="166">
        <f t="shared" si="29"/>
        <v>25000</v>
      </c>
      <c r="M53" s="164"/>
      <c r="N53" s="166">
        <f t="shared" si="27"/>
        <v>25000</v>
      </c>
      <c r="O53" s="164">
        <v>-2755</v>
      </c>
      <c r="P53" s="166">
        <f t="shared" si="18"/>
        <v>22245</v>
      </c>
      <c r="Q53" s="164"/>
      <c r="R53" s="166">
        <f t="shared" si="19"/>
        <v>22245</v>
      </c>
      <c r="S53" s="164"/>
      <c r="T53" s="166">
        <f t="shared" si="20"/>
        <v>22245</v>
      </c>
      <c r="U53" s="164"/>
      <c r="V53" s="166">
        <f t="shared" si="34"/>
        <v>22245</v>
      </c>
      <c r="W53" s="164"/>
      <c r="X53" s="166">
        <f t="shared" si="35"/>
        <v>22245</v>
      </c>
      <c r="Y53" s="164"/>
      <c r="Z53" s="166">
        <f t="shared" si="36"/>
        <v>22245</v>
      </c>
      <c r="AA53" s="164"/>
      <c r="AB53" s="166">
        <f t="shared" si="37"/>
        <v>22245</v>
      </c>
      <c r="AC53" s="164"/>
      <c r="AD53" s="166">
        <f t="shared" si="38"/>
        <v>22245</v>
      </c>
    </row>
    <row r="54" spans="1:30" s="122" customFormat="1" ht="21" customHeight="1">
      <c r="A54" s="123"/>
      <c r="B54" s="130">
        <v>75495</v>
      </c>
      <c r="C54" s="131"/>
      <c r="D54" s="12" t="s">
        <v>6</v>
      </c>
      <c r="E54" s="146">
        <f>SUM(E55)</f>
        <v>0</v>
      </c>
      <c r="F54" s="146">
        <f aca="true" t="shared" si="39" ref="F54:H55">SUM(F55)</f>
        <v>0</v>
      </c>
      <c r="G54" s="146">
        <f t="shared" si="39"/>
        <v>70000</v>
      </c>
      <c r="H54" s="146">
        <f t="shared" si="39"/>
        <v>70000</v>
      </c>
      <c r="I54" s="146">
        <f>SUM(I55)</f>
        <v>0</v>
      </c>
      <c r="J54" s="164">
        <f t="shared" si="13"/>
        <v>70000</v>
      </c>
      <c r="K54" s="146">
        <f>SUM(K55)</f>
        <v>0</v>
      </c>
      <c r="L54" s="164">
        <f t="shared" si="29"/>
        <v>70000</v>
      </c>
      <c r="M54" s="146">
        <f>SUM(M55)</f>
        <v>0</v>
      </c>
      <c r="N54" s="164">
        <f t="shared" si="27"/>
        <v>70000</v>
      </c>
      <c r="O54" s="146">
        <f>SUM(O55)</f>
        <v>-70000</v>
      </c>
      <c r="P54" s="164">
        <f t="shared" si="18"/>
        <v>0</v>
      </c>
      <c r="Q54" s="146">
        <f>SUM(Q55)</f>
        <v>0</v>
      </c>
      <c r="R54" s="164">
        <f t="shared" si="19"/>
        <v>0</v>
      </c>
      <c r="S54" s="146">
        <f>SUM(S55)</f>
        <v>0</v>
      </c>
      <c r="T54" s="164">
        <f t="shared" si="20"/>
        <v>0</v>
      </c>
      <c r="U54" s="146">
        <f>SUM(U55)</f>
        <v>0</v>
      </c>
      <c r="V54" s="164">
        <f t="shared" si="34"/>
        <v>0</v>
      </c>
      <c r="W54" s="146">
        <f>SUM(W55)</f>
        <v>0</v>
      </c>
      <c r="X54" s="164">
        <f t="shared" si="35"/>
        <v>0</v>
      </c>
      <c r="Y54" s="146">
        <f>SUM(Y55)</f>
        <v>0</v>
      </c>
      <c r="Z54" s="164">
        <f t="shared" si="36"/>
        <v>0</v>
      </c>
      <c r="AA54" s="146">
        <f>SUM(AA55)</f>
        <v>0</v>
      </c>
      <c r="AB54" s="164">
        <f t="shared" si="37"/>
        <v>0</v>
      </c>
      <c r="AC54" s="146">
        <f>SUM(AC55)</f>
        <v>0</v>
      </c>
      <c r="AD54" s="164">
        <f t="shared" si="38"/>
        <v>0</v>
      </c>
    </row>
    <row r="55" spans="1:30" s="122" customFormat="1" ht="21" customHeight="1">
      <c r="A55" s="123"/>
      <c r="B55" s="130"/>
      <c r="C55" s="131">
        <v>6050</v>
      </c>
      <c r="D55" s="12" t="s">
        <v>72</v>
      </c>
      <c r="E55" s="146">
        <f>SUM(E56)</f>
        <v>0</v>
      </c>
      <c r="F55" s="146">
        <f t="shared" si="39"/>
        <v>0</v>
      </c>
      <c r="G55" s="146">
        <f t="shared" si="39"/>
        <v>70000</v>
      </c>
      <c r="H55" s="146">
        <f t="shared" si="39"/>
        <v>70000</v>
      </c>
      <c r="I55" s="146"/>
      <c r="J55" s="164">
        <f>SUM(J56)</f>
        <v>70000</v>
      </c>
      <c r="K55" s="164">
        <f>SUM(K56)</f>
        <v>0</v>
      </c>
      <c r="L55" s="164">
        <f>SUM(L56)</f>
        <v>70000</v>
      </c>
      <c r="M55" s="164">
        <f>SUM(M56)</f>
        <v>0</v>
      </c>
      <c r="N55" s="164">
        <f>SUM(N56)</f>
        <v>70000</v>
      </c>
      <c r="O55" s="164">
        <f>SUM(O56)</f>
        <v>-70000</v>
      </c>
      <c r="P55" s="164">
        <f>SUM(P56)</f>
        <v>0</v>
      </c>
      <c r="Q55" s="164">
        <f>SUM(Q56)</f>
        <v>0</v>
      </c>
      <c r="R55" s="164">
        <f>SUM(R56)</f>
        <v>0</v>
      </c>
      <c r="S55" s="164">
        <f>SUM(S56)</f>
        <v>0</v>
      </c>
      <c r="T55" s="164">
        <f>SUM(T56)</f>
        <v>0</v>
      </c>
      <c r="U55" s="164">
        <f>SUM(U56)</f>
        <v>0</v>
      </c>
      <c r="V55" s="164">
        <f>SUM(V56)</f>
        <v>0</v>
      </c>
      <c r="W55" s="164">
        <f>SUM(W56)</f>
        <v>0</v>
      </c>
      <c r="X55" s="164">
        <f>SUM(X56)</f>
        <v>0</v>
      </c>
      <c r="Y55" s="164">
        <f>SUM(Y56)</f>
        <v>0</v>
      </c>
      <c r="Z55" s="164">
        <f>SUM(Z56)</f>
        <v>0</v>
      </c>
      <c r="AA55" s="164">
        <f>SUM(AA56)</f>
        <v>0</v>
      </c>
      <c r="AB55" s="164">
        <f>SUM(AB56)</f>
        <v>0</v>
      </c>
      <c r="AC55" s="164">
        <f>SUM(AC56)</f>
        <v>0</v>
      </c>
      <c r="AD55" s="164">
        <f>SUM(AD56)</f>
        <v>0</v>
      </c>
    </row>
    <row r="56" spans="1:30" s="139" customFormat="1" ht="45">
      <c r="A56" s="136"/>
      <c r="B56" s="137"/>
      <c r="C56" s="154"/>
      <c r="D56" s="128" t="s">
        <v>296</v>
      </c>
      <c r="E56" s="140">
        <v>0</v>
      </c>
      <c r="F56" s="140"/>
      <c r="G56" s="140">
        <v>70000</v>
      </c>
      <c r="H56" s="166">
        <f>SUM(E56:G56)</f>
        <v>70000</v>
      </c>
      <c r="I56" s="166"/>
      <c r="J56" s="166">
        <f t="shared" si="13"/>
        <v>70000</v>
      </c>
      <c r="K56" s="166"/>
      <c r="L56" s="166">
        <f t="shared" si="29"/>
        <v>70000</v>
      </c>
      <c r="M56" s="166"/>
      <c r="N56" s="166">
        <f aca="true" t="shared" si="40" ref="N56:N103">SUM(L56:M56)</f>
        <v>70000</v>
      </c>
      <c r="O56" s="166">
        <v>-70000</v>
      </c>
      <c r="P56" s="166">
        <f aca="true" t="shared" si="41" ref="P56:P64">SUM(N56:O56)</f>
        <v>0</v>
      </c>
      <c r="Q56" s="166"/>
      <c r="R56" s="166">
        <f aca="true" t="shared" si="42" ref="R56:R64">SUM(P56:Q56)</f>
        <v>0</v>
      </c>
      <c r="S56" s="166"/>
      <c r="T56" s="166">
        <f aca="true" t="shared" si="43" ref="T56:T64">SUM(R56:S56)</f>
        <v>0</v>
      </c>
      <c r="U56" s="166"/>
      <c r="V56" s="166">
        <f aca="true" t="shared" si="44" ref="V56:V64">SUM(T56:U56)</f>
        <v>0</v>
      </c>
      <c r="W56" s="166"/>
      <c r="X56" s="166">
        <f aca="true" t="shared" si="45" ref="X56:X64">SUM(V56:W56)</f>
        <v>0</v>
      </c>
      <c r="Y56" s="166"/>
      <c r="Z56" s="166">
        <f aca="true" t="shared" si="46" ref="Z56:Z64">SUM(X56:Y56)</f>
        <v>0</v>
      </c>
      <c r="AA56" s="166"/>
      <c r="AB56" s="166">
        <f aca="true" t="shared" si="47" ref="AB56:AB64">SUM(Z56:AA56)</f>
        <v>0</v>
      </c>
      <c r="AC56" s="166"/>
      <c r="AD56" s="166">
        <f aca="true" t="shared" si="48" ref="AD56:AD64">SUM(AB56:AC56)</f>
        <v>0</v>
      </c>
    </row>
    <row r="57" spans="1:30" s="39" customFormat="1" ht="21" customHeight="1">
      <c r="A57" s="28">
        <v>758</v>
      </c>
      <c r="B57" s="3"/>
      <c r="C57" s="11"/>
      <c r="D57" s="18" t="s">
        <v>45</v>
      </c>
      <c r="E57" s="40">
        <f aca="true" t="shared" si="49" ref="E57:G58">SUM(E58)</f>
        <v>216000</v>
      </c>
      <c r="F57" s="40">
        <f t="shared" si="49"/>
        <v>0</v>
      </c>
      <c r="G57" s="40">
        <f t="shared" si="49"/>
        <v>0</v>
      </c>
      <c r="H57" s="38">
        <f t="shared" si="12"/>
        <v>216000</v>
      </c>
      <c r="I57" s="38">
        <f>SUM(I58)</f>
        <v>-100000</v>
      </c>
      <c r="J57" s="38">
        <f t="shared" si="13"/>
        <v>116000</v>
      </c>
      <c r="K57" s="38">
        <f>SUM(K58)</f>
        <v>0</v>
      </c>
      <c r="L57" s="38">
        <f t="shared" si="29"/>
        <v>116000</v>
      </c>
      <c r="M57" s="38">
        <f>SUM(M58)</f>
        <v>0</v>
      </c>
      <c r="N57" s="38">
        <f t="shared" si="40"/>
        <v>116000</v>
      </c>
      <c r="O57" s="38">
        <f>SUM(O58)</f>
        <v>0</v>
      </c>
      <c r="P57" s="38">
        <f t="shared" si="41"/>
        <v>116000</v>
      </c>
      <c r="Q57" s="38">
        <f>SUM(Q58)</f>
        <v>0</v>
      </c>
      <c r="R57" s="38">
        <f t="shared" si="42"/>
        <v>116000</v>
      </c>
      <c r="S57" s="38">
        <f>SUM(S58)</f>
        <v>0</v>
      </c>
      <c r="T57" s="38">
        <f t="shared" si="43"/>
        <v>116000</v>
      </c>
      <c r="U57" s="38">
        <f>SUM(U58)</f>
        <v>0</v>
      </c>
      <c r="V57" s="38">
        <f t="shared" si="44"/>
        <v>116000</v>
      </c>
      <c r="W57" s="38">
        <f>SUM(W58)</f>
        <v>0</v>
      </c>
      <c r="X57" s="38">
        <f t="shared" si="45"/>
        <v>116000</v>
      </c>
      <c r="Y57" s="38">
        <f>SUM(Y58)</f>
        <v>0</v>
      </c>
      <c r="Z57" s="38">
        <f t="shared" si="46"/>
        <v>116000</v>
      </c>
      <c r="AA57" s="38">
        <f>SUM(AA58)</f>
        <v>0</v>
      </c>
      <c r="AB57" s="38">
        <f t="shared" si="47"/>
        <v>116000</v>
      </c>
      <c r="AC57" s="38">
        <f>SUM(AC58)</f>
        <v>0</v>
      </c>
      <c r="AD57" s="38">
        <f t="shared" si="48"/>
        <v>116000</v>
      </c>
    </row>
    <row r="58" spans="1:30" s="23" customFormat="1" ht="21" customHeight="1">
      <c r="A58" s="69"/>
      <c r="B58" s="46">
        <v>75818</v>
      </c>
      <c r="C58" s="72"/>
      <c r="D58" s="12" t="s">
        <v>106</v>
      </c>
      <c r="E58" s="88">
        <f t="shared" si="49"/>
        <v>216000</v>
      </c>
      <c r="F58" s="88">
        <f t="shared" si="49"/>
        <v>0</v>
      </c>
      <c r="G58" s="88">
        <f t="shared" si="49"/>
        <v>0</v>
      </c>
      <c r="H58" s="164">
        <f t="shared" si="12"/>
        <v>216000</v>
      </c>
      <c r="I58" s="164">
        <f>SUM(I59)</f>
        <v>-100000</v>
      </c>
      <c r="J58" s="164">
        <f t="shared" si="13"/>
        <v>116000</v>
      </c>
      <c r="K58" s="164">
        <f>SUM(K59)</f>
        <v>0</v>
      </c>
      <c r="L58" s="164">
        <f t="shared" si="29"/>
        <v>116000</v>
      </c>
      <c r="M58" s="164">
        <f>SUM(M59)</f>
        <v>0</v>
      </c>
      <c r="N58" s="164">
        <f t="shared" si="40"/>
        <v>116000</v>
      </c>
      <c r="O58" s="164">
        <f>SUM(O59)</f>
        <v>0</v>
      </c>
      <c r="P58" s="164">
        <f t="shared" si="41"/>
        <v>116000</v>
      </c>
      <c r="Q58" s="164">
        <f>SUM(Q59)</f>
        <v>0</v>
      </c>
      <c r="R58" s="164">
        <f t="shared" si="42"/>
        <v>116000</v>
      </c>
      <c r="S58" s="164">
        <f>SUM(S59)</f>
        <v>0</v>
      </c>
      <c r="T58" s="164">
        <f t="shared" si="43"/>
        <v>116000</v>
      </c>
      <c r="U58" s="164">
        <f>SUM(U59)</f>
        <v>0</v>
      </c>
      <c r="V58" s="164">
        <f t="shared" si="44"/>
        <v>116000</v>
      </c>
      <c r="W58" s="164">
        <f>SUM(W59)</f>
        <v>0</v>
      </c>
      <c r="X58" s="164">
        <f t="shared" si="45"/>
        <v>116000</v>
      </c>
      <c r="Y58" s="164">
        <f>SUM(Y59)</f>
        <v>0</v>
      </c>
      <c r="Z58" s="164">
        <f t="shared" si="46"/>
        <v>116000</v>
      </c>
      <c r="AA58" s="164">
        <f>SUM(AA59)</f>
        <v>0</v>
      </c>
      <c r="AB58" s="164">
        <f t="shared" si="47"/>
        <v>116000</v>
      </c>
      <c r="AC58" s="164">
        <f>SUM(AC59)</f>
        <v>0</v>
      </c>
      <c r="AD58" s="164">
        <f t="shared" si="48"/>
        <v>116000</v>
      </c>
    </row>
    <row r="59" spans="1:30" s="23" customFormat="1" ht="21" customHeight="1">
      <c r="A59" s="69"/>
      <c r="B59" s="46"/>
      <c r="C59" s="72">
        <v>6800</v>
      </c>
      <c r="D59" s="12" t="s">
        <v>236</v>
      </c>
      <c r="E59" s="88">
        <f>SUM(E60:E62)</f>
        <v>216000</v>
      </c>
      <c r="F59" s="88">
        <f>SUM(F60:F62)</f>
        <v>0</v>
      </c>
      <c r="G59" s="88">
        <f>SUM(G60:G62)</f>
        <v>0</v>
      </c>
      <c r="H59" s="164">
        <f t="shared" si="12"/>
        <v>216000</v>
      </c>
      <c r="I59" s="164">
        <f>SUM(I60:I62)</f>
        <v>-100000</v>
      </c>
      <c r="J59" s="164">
        <f t="shared" si="13"/>
        <v>116000</v>
      </c>
      <c r="K59" s="164">
        <f>SUM(K60:K62)</f>
        <v>0</v>
      </c>
      <c r="L59" s="164">
        <f t="shared" si="29"/>
        <v>116000</v>
      </c>
      <c r="M59" s="164">
        <f>SUM(M60:M62)</f>
        <v>0</v>
      </c>
      <c r="N59" s="164">
        <f t="shared" si="40"/>
        <v>116000</v>
      </c>
      <c r="O59" s="164">
        <f>SUM(O60:O62)</f>
        <v>0</v>
      </c>
      <c r="P59" s="164">
        <f t="shared" si="41"/>
        <v>116000</v>
      </c>
      <c r="Q59" s="164">
        <f>SUM(Q60:Q62)</f>
        <v>0</v>
      </c>
      <c r="R59" s="164">
        <f t="shared" si="42"/>
        <v>116000</v>
      </c>
      <c r="S59" s="164">
        <f>SUM(S60:S62)</f>
        <v>0</v>
      </c>
      <c r="T59" s="164">
        <f t="shared" si="43"/>
        <v>116000</v>
      </c>
      <c r="U59" s="164">
        <f>SUM(U60:U62)</f>
        <v>0</v>
      </c>
      <c r="V59" s="164">
        <f t="shared" si="44"/>
        <v>116000</v>
      </c>
      <c r="W59" s="164">
        <f>SUM(W60:W62)</f>
        <v>0</v>
      </c>
      <c r="X59" s="164">
        <f t="shared" si="45"/>
        <v>116000</v>
      </c>
      <c r="Y59" s="164">
        <f>SUM(Y60:Y62)</f>
        <v>0</v>
      </c>
      <c r="Z59" s="164">
        <f t="shared" si="46"/>
        <v>116000</v>
      </c>
      <c r="AA59" s="164">
        <f>SUM(AA60:AA62)</f>
        <v>0</v>
      </c>
      <c r="AB59" s="164">
        <f t="shared" si="47"/>
        <v>116000</v>
      </c>
      <c r="AC59" s="164">
        <f>SUM(AC60:AC62)</f>
        <v>0</v>
      </c>
      <c r="AD59" s="164">
        <f t="shared" si="48"/>
        <v>116000</v>
      </c>
    </row>
    <row r="60" spans="1:30" s="139" customFormat="1" ht="21.75" customHeight="1">
      <c r="A60" s="136"/>
      <c r="B60" s="137"/>
      <c r="C60" s="154"/>
      <c r="D60" s="128" t="s">
        <v>268</v>
      </c>
      <c r="E60" s="140">
        <v>100000</v>
      </c>
      <c r="F60" s="140"/>
      <c r="G60" s="140"/>
      <c r="H60" s="166">
        <f t="shared" si="12"/>
        <v>100000</v>
      </c>
      <c r="I60" s="166">
        <v>-100000</v>
      </c>
      <c r="J60" s="166">
        <f t="shared" si="13"/>
        <v>0</v>
      </c>
      <c r="K60" s="166"/>
      <c r="L60" s="166">
        <f t="shared" si="29"/>
        <v>0</v>
      </c>
      <c r="M60" s="166"/>
      <c r="N60" s="166">
        <f t="shared" si="40"/>
        <v>0</v>
      </c>
      <c r="O60" s="166"/>
      <c r="P60" s="166">
        <f t="shared" si="41"/>
        <v>0</v>
      </c>
      <c r="Q60" s="166"/>
      <c r="R60" s="166">
        <f t="shared" si="42"/>
        <v>0</v>
      </c>
      <c r="S60" s="166"/>
      <c r="T60" s="166">
        <f t="shared" si="43"/>
        <v>0</v>
      </c>
      <c r="U60" s="166"/>
      <c r="V60" s="166">
        <f t="shared" si="44"/>
        <v>0</v>
      </c>
      <c r="W60" s="166"/>
      <c r="X60" s="166">
        <f t="shared" si="45"/>
        <v>0</v>
      </c>
      <c r="Y60" s="166"/>
      <c r="Z60" s="166">
        <f t="shared" si="46"/>
        <v>0</v>
      </c>
      <c r="AA60" s="166"/>
      <c r="AB60" s="166">
        <f t="shared" si="47"/>
        <v>0</v>
      </c>
      <c r="AC60" s="166"/>
      <c r="AD60" s="166">
        <f t="shared" si="48"/>
        <v>0</v>
      </c>
    </row>
    <row r="61" spans="1:30" s="139" customFormat="1" ht="45">
      <c r="A61" s="136"/>
      <c r="B61" s="137"/>
      <c r="C61" s="154"/>
      <c r="D61" s="128" t="s">
        <v>432</v>
      </c>
      <c r="E61" s="140">
        <v>100000</v>
      </c>
      <c r="F61" s="140"/>
      <c r="G61" s="140"/>
      <c r="H61" s="166">
        <f t="shared" si="12"/>
        <v>100000</v>
      </c>
      <c r="I61" s="166"/>
      <c r="J61" s="166">
        <f t="shared" si="13"/>
        <v>100000</v>
      </c>
      <c r="K61" s="166"/>
      <c r="L61" s="166">
        <f t="shared" si="29"/>
        <v>100000</v>
      </c>
      <c r="M61" s="166"/>
      <c r="N61" s="166">
        <f t="shared" si="40"/>
        <v>100000</v>
      </c>
      <c r="O61" s="166"/>
      <c r="P61" s="166">
        <f t="shared" si="41"/>
        <v>100000</v>
      </c>
      <c r="Q61" s="166"/>
      <c r="R61" s="166">
        <f t="shared" si="42"/>
        <v>100000</v>
      </c>
      <c r="S61" s="166"/>
      <c r="T61" s="166">
        <f t="shared" si="43"/>
        <v>100000</v>
      </c>
      <c r="U61" s="166"/>
      <c r="V61" s="166">
        <f t="shared" si="44"/>
        <v>100000</v>
      </c>
      <c r="W61" s="166"/>
      <c r="X61" s="166">
        <f t="shared" si="45"/>
        <v>100000</v>
      </c>
      <c r="Y61" s="166"/>
      <c r="Z61" s="166">
        <f t="shared" si="46"/>
        <v>100000</v>
      </c>
      <c r="AA61" s="166"/>
      <c r="AB61" s="166">
        <f t="shared" si="47"/>
        <v>100000</v>
      </c>
      <c r="AC61" s="166"/>
      <c r="AD61" s="166">
        <f t="shared" si="48"/>
        <v>100000</v>
      </c>
    </row>
    <row r="62" spans="1:30" s="139" customFormat="1" ht="21" customHeight="1">
      <c r="A62" s="136"/>
      <c r="B62" s="137"/>
      <c r="C62" s="154"/>
      <c r="D62" s="128" t="s">
        <v>267</v>
      </c>
      <c r="E62" s="140">
        <v>16000</v>
      </c>
      <c r="F62" s="140"/>
      <c r="G62" s="140"/>
      <c r="H62" s="166">
        <f t="shared" si="12"/>
        <v>16000</v>
      </c>
      <c r="I62" s="166"/>
      <c r="J62" s="166">
        <f t="shared" si="13"/>
        <v>16000</v>
      </c>
      <c r="K62" s="166"/>
      <c r="L62" s="166">
        <f t="shared" si="29"/>
        <v>16000</v>
      </c>
      <c r="M62" s="166"/>
      <c r="N62" s="166">
        <f t="shared" si="40"/>
        <v>16000</v>
      </c>
      <c r="O62" s="166"/>
      <c r="P62" s="166">
        <f t="shared" si="41"/>
        <v>16000</v>
      </c>
      <c r="Q62" s="166"/>
      <c r="R62" s="166">
        <f t="shared" si="42"/>
        <v>16000</v>
      </c>
      <c r="S62" s="166"/>
      <c r="T62" s="166">
        <f t="shared" si="43"/>
        <v>16000</v>
      </c>
      <c r="U62" s="166"/>
      <c r="V62" s="166">
        <f t="shared" si="44"/>
        <v>16000</v>
      </c>
      <c r="W62" s="166"/>
      <c r="X62" s="166">
        <f t="shared" si="45"/>
        <v>16000</v>
      </c>
      <c r="Y62" s="166"/>
      <c r="Z62" s="166">
        <f t="shared" si="46"/>
        <v>16000</v>
      </c>
      <c r="AA62" s="166"/>
      <c r="AB62" s="166">
        <f t="shared" si="47"/>
        <v>16000</v>
      </c>
      <c r="AC62" s="166"/>
      <c r="AD62" s="166">
        <f t="shared" si="48"/>
        <v>16000</v>
      </c>
    </row>
    <row r="63" spans="1:30" s="39" customFormat="1" ht="21" customHeight="1">
      <c r="A63" s="28">
        <v>801</v>
      </c>
      <c r="B63" s="3"/>
      <c r="C63" s="11"/>
      <c r="D63" s="18" t="s">
        <v>109</v>
      </c>
      <c r="E63" s="17">
        <f>SUM(,E71,E64,E77)</f>
        <v>6592300</v>
      </c>
      <c r="F63" s="17">
        <f>SUM(,F71,F64,F77)</f>
        <v>-861184</v>
      </c>
      <c r="G63" s="17">
        <f>SUM(,G71,G64,G77)</f>
        <v>0</v>
      </c>
      <c r="H63" s="38">
        <f t="shared" si="12"/>
        <v>5731116</v>
      </c>
      <c r="I63" s="38">
        <f>SUM(I64,I71,I77,)</f>
        <v>15000</v>
      </c>
      <c r="J63" s="38">
        <f t="shared" si="13"/>
        <v>5746116</v>
      </c>
      <c r="K63" s="38">
        <f>SUM(K64,K71,K77,)</f>
        <v>0</v>
      </c>
      <c r="L63" s="38">
        <f t="shared" si="29"/>
        <v>5746116</v>
      </c>
      <c r="M63" s="38">
        <f>SUM(M64,M71,M77,)</f>
        <v>63850</v>
      </c>
      <c r="N63" s="38">
        <f t="shared" si="40"/>
        <v>5809966</v>
      </c>
      <c r="O63" s="38">
        <f>SUM(O64,O71,O77,)</f>
        <v>151250</v>
      </c>
      <c r="P63" s="38">
        <f t="shared" si="41"/>
        <v>5961216</v>
      </c>
      <c r="Q63" s="38">
        <f>SUM(Q64,Q71,Q77,)</f>
        <v>0</v>
      </c>
      <c r="R63" s="38">
        <f t="shared" si="42"/>
        <v>5961216</v>
      </c>
      <c r="S63" s="38">
        <f>SUM(S64,S71,S77,)</f>
        <v>0</v>
      </c>
      <c r="T63" s="38">
        <f t="shared" si="43"/>
        <v>5961216</v>
      </c>
      <c r="U63" s="38">
        <f>SUM(U64,U71,U77,)</f>
        <v>-9176</v>
      </c>
      <c r="V63" s="38">
        <f t="shared" si="44"/>
        <v>5952040</v>
      </c>
      <c r="W63" s="38">
        <f>SUM(W64,W71,W77,)</f>
        <v>0</v>
      </c>
      <c r="X63" s="38">
        <f t="shared" si="45"/>
        <v>5952040</v>
      </c>
      <c r="Y63" s="38">
        <f>SUM(Y64,Y71,Y77,)</f>
        <v>0</v>
      </c>
      <c r="Z63" s="38">
        <f t="shared" si="46"/>
        <v>5952040</v>
      </c>
      <c r="AA63" s="38">
        <f>SUM(AA64,AA71,AA77,)</f>
        <v>-45000</v>
      </c>
      <c r="AB63" s="38">
        <f t="shared" si="47"/>
        <v>5907040</v>
      </c>
      <c r="AC63" s="38">
        <f>SUM(AC64,AC71,AC77,)</f>
        <v>0</v>
      </c>
      <c r="AD63" s="38">
        <f t="shared" si="48"/>
        <v>5907040</v>
      </c>
    </row>
    <row r="64" spans="1:30" s="122" customFormat="1" ht="21" customHeight="1">
      <c r="A64" s="123"/>
      <c r="B64" s="130">
        <v>80101</v>
      </c>
      <c r="C64" s="131"/>
      <c r="D64" s="132" t="s">
        <v>50</v>
      </c>
      <c r="E64" s="133">
        <f>SUM(E65,E68,)</f>
        <v>670300</v>
      </c>
      <c r="F64" s="133">
        <f>SUM(F65,F68,)</f>
        <v>-110000</v>
      </c>
      <c r="G64" s="133">
        <f>SUM(G65,G68,)</f>
        <v>0</v>
      </c>
      <c r="H64" s="164">
        <f t="shared" si="12"/>
        <v>560300</v>
      </c>
      <c r="I64" s="164">
        <f>SUM(I65,I68,)</f>
        <v>0</v>
      </c>
      <c r="J64" s="164">
        <f t="shared" si="13"/>
        <v>560300</v>
      </c>
      <c r="K64" s="164">
        <f>SUM(K65,K68,)</f>
        <v>0</v>
      </c>
      <c r="L64" s="164">
        <f t="shared" si="29"/>
        <v>560300</v>
      </c>
      <c r="M64" s="164">
        <f>SUM(M65,M68,)</f>
        <v>63850</v>
      </c>
      <c r="N64" s="164">
        <f t="shared" si="40"/>
        <v>624150</v>
      </c>
      <c r="O64" s="164">
        <f>SUM(O65,O68,)</f>
        <v>63850</v>
      </c>
      <c r="P64" s="164">
        <f t="shared" si="41"/>
        <v>688000</v>
      </c>
      <c r="Q64" s="164">
        <f>SUM(Q65,Q68,)</f>
        <v>0</v>
      </c>
      <c r="R64" s="164">
        <f t="shared" si="42"/>
        <v>688000</v>
      </c>
      <c r="S64" s="164">
        <f>SUM(S65,S68,)</f>
        <v>0</v>
      </c>
      <c r="T64" s="164">
        <f t="shared" si="43"/>
        <v>688000</v>
      </c>
      <c r="U64" s="164">
        <f>SUM(U65,U68,)</f>
        <v>-10300</v>
      </c>
      <c r="V64" s="164">
        <f t="shared" si="44"/>
        <v>677700</v>
      </c>
      <c r="W64" s="164">
        <f>SUM(W65,W68,)</f>
        <v>0</v>
      </c>
      <c r="X64" s="164">
        <f t="shared" si="45"/>
        <v>677700</v>
      </c>
      <c r="Y64" s="164">
        <f>SUM(Y65,Y68,)</f>
        <v>0</v>
      </c>
      <c r="Z64" s="164">
        <f t="shared" si="46"/>
        <v>677700</v>
      </c>
      <c r="AA64" s="164">
        <f>SUM(AA65,AA68,)</f>
        <v>0</v>
      </c>
      <c r="AB64" s="164">
        <f t="shared" si="47"/>
        <v>677700</v>
      </c>
      <c r="AC64" s="164">
        <f>SUM(AC65,AC68,)</f>
        <v>0</v>
      </c>
      <c r="AD64" s="164">
        <f t="shared" si="48"/>
        <v>677700</v>
      </c>
    </row>
    <row r="65" spans="1:30" s="122" customFormat="1" ht="21" customHeight="1">
      <c r="A65" s="123"/>
      <c r="B65" s="130"/>
      <c r="C65" s="131">
        <v>6050</v>
      </c>
      <c r="D65" s="12" t="s">
        <v>72</v>
      </c>
      <c r="E65" s="133">
        <f>SUM(E67)</f>
        <v>660000</v>
      </c>
      <c r="F65" s="133">
        <f>SUM(F67)</f>
        <v>-110000</v>
      </c>
      <c r="G65" s="133">
        <f>SUM(G67)</f>
        <v>0</v>
      </c>
      <c r="H65" s="164">
        <f t="shared" si="12"/>
        <v>550000</v>
      </c>
      <c r="I65" s="164">
        <f>SUM(I67)</f>
        <v>0</v>
      </c>
      <c r="J65" s="164">
        <f t="shared" si="13"/>
        <v>550000</v>
      </c>
      <c r="K65" s="164">
        <f>SUM(K67)</f>
        <v>0</v>
      </c>
      <c r="L65" s="164">
        <f aca="true" t="shared" si="50" ref="L65:R65">SUM(L66:L67)</f>
        <v>550000</v>
      </c>
      <c r="M65" s="164">
        <f t="shared" si="50"/>
        <v>63850</v>
      </c>
      <c r="N65" s="164">
        <f t="shared" si="50"/>
        <v>613850</v>
      </c>
      <c r="O65" s="164">
        <f t="shared" si="50"/>
        <v>63850</v>
      </c>
      <c r="P65" s="164">
        <f t="shared" si="50"/>
        <v>677700</v>
      </c>
      <c r="Q65" s="164">
        <f t="shared" si="50"/>
        <v>0</v>
      </c>
      <c r="R65" s="164">
        <f t="shared" si="50"/>
        <v>677700</v>
      </c>
      <c r="S65" s="164">
        <f aca="true" t="shared" si="51" ref="S65:X65">SUM(S66:S67)</f>
        <v>0</v>
      </c>
      <c r="T65" s="164">
        <f t="shared" si="51"/>
        <v>677700</v>
      </c>
      <c r="U65" s="164">
        <f t="shared" si="51"/>
        <v>0</v>
      </c>
      <c r="V65" s="164">
        <f t="shared" si="51"/>
        <v>677700</v>
      </c>
      <c r="W65" s="164">
        <f t="shared" si="51"/>
        <v>0</v>
      </c>
      <c r="X65" s="164">
        <f t="shared" si="51"/>
        <v>677700</v>
      </c>
      <c r="Y65" s="164">
        <f aca="true" t="shared" si="52" ref="Y65:AD65">SUM(Y66:Y67)</f>
        <v>0</v>
      </c>
      <c r="Z65" s="164">
        <f t="shared" si="52"/>
        <v>677700</v>
      </c>
      <c r="AA65" s="164">
        <f t="shared" si="52"/>
        <v>0</v>
      </c>
      <c r="AB65" s="164">
        <f t="shared" si="52"/>
        <v>677700</v>
      </c>
      <c r="AC65" s="164">
        <f t="shared" si="52"/>
        <v>0</v>
      </c>
      <c r="AD65" s="164">
        <f t="shared" si="52"/>
        <v>677700</v>
      </c>
    </row>
    <row r="66" spans="1:30" s="122" customFormat="1" ht="28.5" customHeight="1">
      <c r="A66" s="123"/>
      <c r="B66" s="130"/>
      <c r="C66" s="131"/>
      <c r="D66" s="44" t="s">
        <v>356</v>
      </c>
      <c r="E66" s="133"/>
      <c r="F66" s="133"/>
      <c r="G66" s="133"/>
      <c r="H66" s="164"/>
      <c r="I66" s="164"/>
      <c r="J66" s="164"/>
      <c r="K66" s="164"/>
      <c r="L66" s="164">
        <v>0</v>
      </c>
      <c r="M66" s="164">
        <v>63850</v>
      </c>
      <c r="N66" s="166">
        <f t="shared" si="40"/>
        <v>63850</v>
      </c>
      <c r="O66" s="164">
        <v>63850</v>
      </c>
      <c r="P66" s="166">
        <f aca="true" t="shared" si="53" ref="P66:P103">SUM(N66:O66)</f>
        <v>127700</v>
      </c>
      <c r="Q66" s="164"/>
      <c r="R66" s="166">
        <f aca="true" t="shared" si="54" ref="R66:R103">SUM(P66:Q66)</f>
        <v>127700</v>
      </c>
      <c r="S66" s="164"/>
      <c r="T66" s="166">
        <f aca="true" t="shared" si="55" ref="T66:T103">SUM(R66:S66)</f>
        <v>127700</v>
      </c>
      <c r="U66" s="164"/>
      <c r="V66" s="166">
        <f aca="true" t="shared" si="56" ref="V66:V103">SUM(T66:U66)</f>
        <v>127700</v>
      </c>
      <c r="W66" s="164"/>
      <c r="X66" s="166">
        <f aca="true" t="shared" si="57" ref="X66:X103">SUM(V66:W66)</f>
        <v>127700</v>
      </c>
      <c r="Y66" s="164"/>
      <c r="Z66" s="166">
        <f aca="true" t="shared" si="58" ref="Z66:Z103">SUM(X66:Y66)</f>
        <v>127700</v>
      </c>
      <c r="AA66" s="164"/>
      <c r="AB66" s="166">
        <f aca="true" t="shared" si="59" ref="AB66:AB103">SUM(Z66:AA66)</f>
        <v>127700</v>
      </c>
      <c r="AC66" s="164"/>
      <c r="AD66" s="166">
        <f aca="true" t="shared" si="60" ref="AD66:AD103">SUM(AB66:AC66)</f>
        <v>127700</v>
      </c>
    </row>
    <row r="67" spans="1:30" s="139" customFormat="1" ht="21" customHeight="1">
      <c r="A67" s="136"/>
      <c r="B67" s="137"/>
      <c r="C67" s="128"/>
      <c r="D67" s="128" t="s">
        <v>258</v>
      </c>
      <c r="E67" s="129">
        <v>660000</v>
      </c>
      <c r="F67" s="129">
        <v>-110000</v>
      </c>
      <c r="G67" s="129"/>
      <c r="H67" s="166">
        <f t="shared" si="12"/>
        <v>550000</v>
      </c>
      <c r="I67" s="166"/>
      <c r="J67" s="166">
        <f t="shared" si="13"/>
        <v>550000</v>
      </c>
      <c r="K67" s="166"/>
      <c r="L67" s="166">
        <f t="shared" si="29"/>
        <v>550000</v>
      </c>
      <c r="M67" s="166"/>
      <c r="N67" s="166">
        <f t="shared" si="40"/>
        <v>550000</v>
      </c>
      <c r="O67" s="166"/>
      <c r="P67" s="166">
        <f t="shared" si="53"/>
        <v>550000</v>
      </c>
      <c r="Q67" s="166"/>
      <c r="R67" s="166">
        <f t="shared" si="54"/>
        <v>550000</v>
      </c>
      <c r="S67" s="166"/>
      <c r="T67" s="166">
        <f t="shared" si="55"/>
        <v>550000</v>
      </c>
      <c r="U67" s="166"/>
      <c r="V67" s="166">
        <f t="shared" si="56"/>
        <v>550000</v>
      </c>
      <c r="W67" s="166"/>
      <c r="X67" s="166">
        <f t="shared" si="57"/>
        <v>550000</v>
      </c>
      <c r="Y67" s="166"/>
      <c r="Z67" s="166">
        <f t="shared" si="58"/>
        <v>550000</v>
      </c>
      <c r="AA67" s="166"/>
      <c r="AB67" s="166">
        <f t="shared" si="59"/>
        <v>550000</v>
      </c>
      <c r="AC67" s="166"/>
      <c r="AD67" s="166">
        <f t="shared" si="60"/>
        <v>550000</v>
      </c>
    </row>
    <row r="68" spans="1:30" s="122" customFormat="1" ht="22.5">
      <c r="A68" s="123"/>
      <c r="B68" s="130"/>
      <c r="C68" s="131">
        <v>6060</v>
      </c>
      <c r="D68" s="12" t="s">
        <v>95</v>
      </c>
      <c r="E68" s="133">
        <f>SUM(E69:E70)</f>
        <v>10300</v>
      </c>
      <c r="F68" s="133">
        <f>SUM(F69:F70)</f>
        <v>0</v>
      </c>
      <c r="G68" s="133">
        <f>SUM(G69:G70)</f>
        <v>0</v>
      </c>
      <c r="H68" s="164">
        <f t="shared" si="12"/>
        <v>10300</v>
      </c>
      <c r="I68" s="164">
        <f>SUM(I69:I70)</f>
        <v>0</v>
      </c>
      <c r="J68" s="164">
        <f t="shared" si="13"/>
        <v>10300</v>
      </c>
      <c r="K68" s="164">
        <f>SUM(K69:K70)</f>
        <v>0</v>
      </c>
      <c r="L68" s="164">
        <f t="shared" si="29"/>
        <v>10300</v>
      </c>
      <c r="M68" s="164">
        <f>SUM(M69:M70)</f>
        <v>0</v>
      </c>
      <c r="N68" s="164">
        <f t="shared" si="40"/>
        <v>10300</v>
      </c>
      <c r="O68" s="164">
        <f>SUM(O69:O70)</f>
        <v>0</v>
      </c>
      <c r="P68" s="164">
        <f t="shared" si="53"/>
        <v>10300</v>
      </c>
      <c r="Q68" s="164">
        <f>SUM(Q69:Q70)</f>
        <v>0</v>
      </c>
      <c r="R68" s="164">
        <f t="shared" si="54"/>
        <v>10300</v>
      </c>
      <c r="S68" s="164">
        <f>SUM(S69:S70)</f>
        <v>0</v>
      </c>
      <c r="T68" s="164">
        <f t="shared" si="55"/>
        <v>10300</v>
      </c>
      <c r="U68" s="164">
        <f>SUM(U69:U70)</f>
        <v>-10300</v>
      </c>
      <c r="V68" s="164">
        <f t="shared" si="56"/>
        <v>0</v>
      </c>
      <c r="W68" s="164">
        <f>SUM(W69:W70)</f>
        <v>0</v>
      </c>
      <c r="X68" s="164">
        <f t="shared" si="57"/>
        <v>0</v>
      </c>
      <c r="Y68" s="164">
        <f>SUM(Y69:Y70)</f>
        <v>0</v>
      </c>
      <c r="Z68" s="164">
        <f t="shared" si="58"/>
        <v>0</v>
      </c>
      <c r="AA68" s="164">
        <f>SUM(AA69:AA70)</f>
        <v>0</v>
      </c>
      <c r="AB68" s="164">
        <f t="shared" si="59"/>
        <v>0</v>
      </c>
      <c r="AC68" s="164">
        <f>SUM(AC69:AC70)</f>
        <v>0</v>
      </c>
      <c r="AD68" s="164">
        <f t="shared" si="60"/>
        <v>0</v>
      </c>
    </row>
    <row r="69" spans="1:30" s="139" customFormat="1" ht="26.25" customHeight="1">
      <c r="A69" s="136"/>
      <c r="B69" s="137"/>
      <c r="C69" s="154"/>
      <c r="D69" s="128" t="s">
        <v>433</v>
      </c>
      <c r="E69" s="129">
        <v>5800</v>
      </c>
      <c r="F69" s="129"/>
      <c r="G69" s="129"/>
      <c r="H69" s="166">
        <f t="shared" si="12"/>
        <v>5800</v>
      </c>
      <c r="I69" s="166"/>
      <c r="J69" s="166">
        <f t="shared" si="13"/>
        <v>5800</v>
      </c>
      <c r="K69" s="166"/>
      <c r="L69" s="166">
        <f t="shared" si="29"/>
        <v>5800</v>
      </c>
      <c r="M69" s="166"/>
      <c r="N69" s="166">
        <f t="shared" si="40"/>
        <v>5800</v>
      </c>
      <c r="O69" s="166"/>
      <c r="P69" s="166">
        <f t="shared" si="53"/>
        <v>5800</v>
      </c>
      <c r="Q69" s="166"/>
      <c r="R69" s="166">
        <f t="shared" si="54"/>
        <v>5800</v>
      </c>
      <c r="S69" s="166"/>
      <c r="T69" s="166">
        <f t="shared" si="55"/>
        <v>5800</v>
      </c>
      <c r="U69" s="166">
        <v>-5800</v>
      </c>
      <c r="V69" s="166">
        <f t="shared" si="56"/>
        <v>0</v>
      </c>
      <c r="W69" s="166"/>
      <c r="X69" s="166">
        <f t="shared" si="57"/>
        <v>0</v>
      </c>
      <c r="Y69" s="166"/>
      <c r="Z69" s="166">
        <f t="shared" si="58"/>
        <v>0</v>
      </c>
      <c r="AA69" s="166"/>
      <c r="AB69" s="166">
        <f t="shared" si="59"/>
        <v>0</v>
      </c>
      <c r="AC69" s="166"/>
      <c r="AD69" s="166">
        <f t="shared" si="60"/>
        <v>0</v>
      </c>
    </row>
    <row r="70" spans="1:30" s="139" customFormat="1" ht="24.75" customHeight="1">
      <c r="A70" s="136"/>
      <c r="B70" s="137"/>
      <c r="C70" s="154"/>
      <c r="D70" s="128" t="s">
        <v>329</v>
      </c>
      <c r="E70" s="129">
        <v>4500</v>
      </c>
      <c r="F70" s="129"/>
      <c r="G70" s="129"/>
      <c r="H70" s="166">
        <f t="shared" si="12"/>
        <v>4500</v>
      </c>
      <c r="I70" s="166"/>
      <c r="J70" s="166">
        <f t="shared" si="13"/>
        <v>4500</v>
      </c>
      <c r="K70" s="166"/>
      <c r="L70" s="166">
        <f t="shared" si="29"/>
        <v>4500</v>
      </c>
      <c r="M70" s="166"/>
      <c r="N70" s="166">
        <f t="shared" si="40"/>
        <v>4500</v>
      </c>
      <c r="O70" s="166"/>
      <c r="P70" s="166">
        <f t="shared" si="53"/>
        <v>4500</v>
      </c>
      <c r="Q70" s="166"/>
      <c r="R70" s="166">
        <f t="shared" si="54"/>
        <v>4500</v>
      </c>
      <c r="S70" s="166"/>
      <c r="T70" s="166">
        <f t="shared" si="55"/>
        <v>4500</v>
      </c>
      <c r="U70" s="166">
        <v>-4500</v>
      </c>
      <c r="V70" s="166">
        <f t="shared" si="56"/>
        <v>0</v>
      </c>
      <c r="W70" s="166"/>
      <c r="X70" s="166">
        <f t="shared" si="57"/>
        <v>0</v>
      </c>
      <c r="Y70" s="166"/>
      <c r="Z70" s="166">
        <f t="shared" si="58"/>
        <v>0</v>
      </c>
      <c r="AA70" s="166"/>
      <c r="AB70" s="166">
        <f t="shared" si="59"/>
        <v>0</v>
      </c>
      <c r="AC70" s="166"/>
      <c r="AD70" s="166">
        <f t="shared" si="60"/>
        <v>0</v>
      </c>
    </row>
    <row r="71" spans="1:30" s="23" customFormat="1" ht="21" customHeight="1">
      <c r="A71" s="69"/>
      <c r="B71" s="46">
        <v>80110</v>
      </c>
      <c r="C71" s="72"/>
      <c r="D71" s="12" t="s">
        <v>51</v>
      </c>
      <c r="E71" s="82">
        <f>SUM(E72)</f>
        <v>5918000</v>
      </c>
      <c r="F71" s="82">
        <f>SUM(F72)</f>
        <v>-751184</v>
      </c>
      <c r="G71" s="82">
        <f>SUM(G72)</f>
        <v>0</v>
      </c>
      <c r="H71" s="164">
        <f t="shared" si="12"/>
        <v>5166816</v>
      </c>
      <c r="I71" s="164">
        <f>SUM(I72)</f>
        <v>15000</v>
      </c>
      <c r="J71" s="164">
        <f t="shared" si="13"/>
        <v>5181816</v>
      </c>
      <c r="K71" s="164">
        <f>SUM(K72)</f>
        <v>0</v>
      </c>
      <c r="L71" s="164">
        <f t="shared" si="29"/>
        <v>5181816</v>
      </c>
      <c r="M71" s="164">
        <f>SUM(M72)</f>
        <v>0</v>
      </c>
      <c r="N71" s="164">
        <f t="shared" si="40"/>
        <v>5181816</v>
      </c>
      <c r="O71" s="164">
        <f>SUM(O72)</f>
        <v>87400</v>
      </c>
      <c r="P71" s="164">
        <f t="shared" si="53"/>
        <v>5269216</v>
      </c>
      <c r="Q71" s="164">
        <f>SUM(Q72)</f>
        <v>0</v>
      </c>
      <c r="R71" s="164">
        <f t="shared" si="54"/>
        <v>5269216</v>
      </c>
      <c r="S71" s="164">
        <f>SUM(S72)</f>
        <v>0</v>
      </c>
      <c r="T71" s="164">
        <f t="shared" si="55"/>
        <v>5269216</v>
      </c>
      <c r="U71" s="164">
        <f>SUM(U72)</f>
        <v>0</v>
      </c>
      <c r="V71" s="164">
        <f t="shared" si="56"/>
        <v>5269216</v>
      </c>
      <c r="W71" s="164">
        <f>SUM(W72)</f>
        <v>0</v>
      </c>
      <c r="X71" s="164">
        <f t="shared" si="57"/>
        <v>5269216</v>
      </c>
      <c r="Y71" s="164">
        <f>SUM(Y72)</f>
        <v>0</v>
      </c>
      <c r="Z71" s="164">
        <f t="shared" si="58"/>
        <v>5269216</v>
      </c>
      <c r="AA71" s="164">
        <f>SUM(AA72)</f>
        <v>-45000</v>
      </c>
      <c r="AB71" s="164">
        <f t="shared" si="59"/>
        <v>5224216</v>
      </c>
      <c r="AC71" s="164">
        <f>SUM(AC72)</f>
        <v>0</v>
      </c>
      <c r="AD71" s="164">
        <f t="shared" si="60"/>
        <v>5224216</v>
      </c>
    </row>
    <row r="72" spans="1:30" s="23" customFormat="1" ht="21" customHeight="1">
      <c r="A72" s="69"/>
      <c r="B72" s="46"/>
      <c r="C72" s="72">
        <v>6050</v>
      </c>
      <c r="D72" s="12" t="s">
        <v>72</v>
      </c>
      <c r="E72" s="82">
        <f>SUM(E73:E76)</f>
        <v>5918000</v>
      </c>
      <c r="F72" s="82">
        <f>SUM(F73:F76)</f>
        <v>-751184</v>
      </c>
      <c r="G72" s="82">
        <f>SUM(G73:G76)</f>
        <v>0</v>
      </c>
      <c r="H72" s="164">
        <f t="shared" si="12"/>
        <v>5166816</v>
      </c>
      <c r="I72" s="164">
        <f>SUM(I73:I76)</f>
        <v>15000</v>
      </c>
      <c r="J72" s="164">
        <f t="shared" si="13"/>
        <v>5181816</v>
      </c>
      <c r="K72" s="164">
        <f>SUM(K73:K76)</f>
        <v>0</v>
      </c>
      <c r="L72" s="164">
        <f t="shared" si="29"/>
        <v>5181816</v>
      </c>
      <c r="M72" s="164">
        <f>SUM(M73:M76)</f>
        <v>0</v>
      </c>
      <c r="N72" s="164">
        <f t="shared" si="40"/>
        <v>5181816</v>
      </c>
      <c r="O72" s="164">
        <f>SUM(O73:O76)</f>
        <v>87400</v>
      </c>
      <c r="P72" s="164">
        <f t="shared" si="53"/>
        <v>5269216</v>
      </c>
      <c r="Q72" s="164">
        <f>SUM(Q73:Q76)</f>
        <v>0</v>
      </c>
      <c r="R72" s="164">
        <f t="shared" si="54"/>
        <v>5269216</v>
      </c>
      <c r="S72" s="164">
        <f>SUM(S73:S76)</f>
        <v>0</v>
      </c>
      <c r="T72" s="164">
        <f t="shared" si="55"/>
        <v>5269216</v>
      </c>
      <c r="U72" s="164">
        <f>SUM(U73:U76)</f>
        <v>0</v>
      </c>
      <c r="V72" s="164">
        <f t="shared" si="56"/>
        <v>5269216</v>
      </c>
      <c r="W72" s="164">
        <f>SUM(W73:W76)</f>
        <v>0</v>
      </c>
      <c r="X72" s="164">
        <f t="shared" si="57"/>
        <v>5269216</v>
      </c>
      <c r="Y72" s="164">
        <f>SUM(Y73:Y76)</f>
        <v>0</v>
      </c>
      <c r="Z72" s="164">
        <f t="shared" si="58"/>
        <v>5269216</v>
      </c>
      <c r="AA72" s="164">
        <f>SUM(AA73:AA76)</f>
        <v>-45000</v>
      </c>
      <c r="AB72" s="164">
        <f t="shared" si="59"/>
        <v>5224216</v>
      </c>
      <c r="AC72" s="164">
        <f>SUM(AC73:AC76)</f>
        <v>0</v>
      </c>
      <c r="AD72" s="164">
        <f t="shared" si="60"/>
        <v>5224216</v>
      </c>
    </row>
    <row r="73" spans="1:30" s="139" customFormat="1" ht="21.75" customHeight="1">
      <c r="A73" s="136"/>
      <c r="B73" s="137"/>
      <c r="C73" s="154"/>
      <c r="D73" s="128" t="s">
        <v>256</v>
      </c>
      <c r="E73" s="129">
        <v>4350000</v>
      </c>
      <c r="F73" s="129">
        <v>-138184</v>
      </c>
      <c r="G73" s="129"/>
      <c r="H73" s="166">
        <f t="shared" si="12"/>
        <v>4211816</v>
      </c>
      <c r="I73" s="166">
        <v>15000</v>
      </c>
      <c r="J73" s="166">
        <f t="shared" si="13"/>
        <v>4226816</v>
      </c>
      <c r="K73" s="166"/>
      <c r="L73" s="166">
        <f t="shared" si="29"/>
        <v>4226816</v>
      </c>
      <c r="M73" s="166"/>
      <c r="N73" s="166">
        <f t="shared" si="40"/>
        <v>4226816</v>
      </c>
      <c r="O73" s="166">
        <v>70000</v>
      </c>
      <c r="P73" s="166">
        <f t="shared" si="53"/>
        <v>4296816</v>
      </c>
      <c r="Q73" s="166"/>
      <c r="R73" s="166">
        <f t="shared" si="54"/>
        <v>4296816</v>
      </c>
      <c r="S73" s="166"/>
      <c r="T73" s="166">
        <f t="shared" si="55"/>
        <v>4296816</v>
      </c>
      <c r="U73" s="166"/>
      <c r="V73" s="166">
        <f t="shared" si="56"/>
        <v>4296816</v>
      </c>
      <c r="W73" s="166"/>
      <c r="X73" s="166">
        <f t="shared" si="57"/>
        <v>4296816</v>
      </c>
      <c r="Y73" s="166"/>
      <c r="Z73" s="166">
        <f t="shared" si="58"/>
        <v>4296816</v>
      </c>
      <c r="AA73" s="166"/>
      <c r="AB73" s="166">
        <f t="shared" si="59"/>
        <v>4296816</v>
      </c>
      <c r="AC73" s="166">
        <v>50000</v>
      </c>
      <c r="AD73" s="166">
        <f t="shared" si="60"/>
        <v>4346816</v>
      </c>
    </row>
    <row r="74" spans="1:30" s="139" customFormat="1" ht="21" customHeight="1">
      <c r="A74" s="136"/>
      <c r="B74" s="137"/>
      <c r="C74" s="154"/>
      <c r="D74" s="128" t="s">
        <v>257</v>
      </c>
      <c r="E74" s="129">
        <v>868000</v>
      </c>
      <c r="F74" s="129">
        <v>-213000</v>
      </c>
      <c r="G74" s="129"/>
      <c r="H74" s="166">
        <f t="shared" si="12"/>
        <v>655000</v>
      </c>
      <c r="I74" s="166"/>
      <c r="J74" s="166">
        <f t="shared" si="13"/>
        <v>655000</v>
      </c>
      <c r="K74" s="166"/>
      <c r="L74" s="166">
        <f t="shared" si="29"/>
        <v>655000</v>
      </c>
      <c r="M74" s="166"/>
      <c r="N74" s="166">
        <f t="shared" si="40"/>
        <v>655000</v>
      </c>
      <c r="O74" s="166">
        <v>17400</v>
      </c>
      <c r="P74" s="166">
        <f t="shared" si="53"/>
        <v>672400</v>
      </c>
      <c r="Q74" s="166"/>
      <c r="R74" s="166">
        <f t="shared" si="54"/>
        <v>672400</v>
      </c>
      <c r="S74" s="166"/>
      <c r="T74" s="166">
        <f t="shared" si="55"/>
        <v>672400</v>
      </c>
      <c r="U74" s="166"/>
      <c r="V74" s="166">
        <f t="shared" si="56"/>
        <v>672400</v>
      </c>
      <c r="W74" s="166"/>
      <c r="X74" s="166">
        <f t="shared" si="57"/>
        <v>672400</v>
      </c>
      <c r="Y74" s="166"/>
      <c r="Z74" s="166">
        <f t="shared" si="58"/>
        <v>672400</v>
      </c>
      <c r="AA74" s="166"/>
      <c r="AB74" s="166">
        <f t="shared" si="59"/>
        <v>672400</v>
      </c>
      <c r="AC74" s="166"/>
      <c r="AD74" s="166">
        <f t="shared" si="60"/>
        <v>672400</v>
      </c>
    </row>
    <row r="75" spans="1:30" s="139" customFormat="1" ht="21" customHeight="1">
      <c r="A75" s="136"/>
      <c r="B75" s="137"/>
      <c r="C75" s="154"/>
      <c r="D75" s="128" t="s">
        <v>260</v>
      </c>
      <c r="E75" s="129">
        <v>600000</v>
      </c>
      <c r="F75" s="129">
        <v>-400000</v>
      </c>
      <c r="G75" s="129"/>
      <c r="H75" s="166">
        <f t="shared" si="12"/>
        <v>200000</v>
      </c>
      <c r="I75" s="166"/>
      <c r="J75" s="166">
        <f t="shared" si="13"/>
        <v>200000</v>
      </c>
      <c r="K75" s="166"/>
      <c r="L75" s="166">
        <f t="shared" si="29"/>
        <v>200000</v>
      </c>
      <c r="M75" s="166"/>
      <c r="N75" s="166">
        <f t="shared" si="40"/>
        <v>200000</v>
      </c>
      <c r="O75" s="166"/>
      <c r="P75" s="166">
        <f t="shared" si="53"/>
        <v>200000</v>
      </c>
      <c r="Q75" s="166"/>
      <c r="R75" s="166">
        <f t="shared" si="54"/>
        <v>200000</v>
      </c>
      <c r="S75" s="166"/>
      <c r="T75" s="166">
        <f t="shared" si="55"/>
        <v>200000</v>
      </c>
      <c r="U75" s="166"/>
      <c r="V75" s="166">
        <f t="shared" si="56"/>
        <v>200000</v>
      </c>
      <c r="W75" s="166"/>
      <c r="X75" s="166">
        <f t="shared" si="57"/>
        <v>200000</v>
      </c>
      <c r="Y75" s="166"/>
      <c r="Z75" s="166">
        <f t="shared" si="58"/>
        <v>200000</v>
      </c>
      <c r="AA75" s="166"/>
      <c r="AB75" s="166">
        <f t="shared" si="59"/>
        <v>200000</v>
      </c>
      <c r="AC75" s="166">
        <v>-50000</v>
      </c>
      <c r="AD75" s="166">
        <f t="shared" si="60"/>
        <v>150000</v>
      </c>
    </row>
    <row r="76" spans="1:30" s="139" customFormat="1" ht="24" customHeight="1">
      <c r="A76" s="136"/>
      <c r="B76" s="137"/>
      <c r="C76" s="154"/>
      <c r="D76" s="128" t="s">
        <v>261</v>
      </c>
      <c r="E76" s="129">
        <v>100000</v>
      </c>
      <c r="F76" s="129"/>
      <c r="G76" s="129"/>
      <c r="H76" s="166">
        <f t="shared" si="12"/>
        <v>100000</v>
      </c>
      <c r="I76" s="166"/>
      <c r="J76" s="166">
        <f t="shared" si="13"/>
        <v>100000</v>
      </c>
      <c r="K76" s="166"/>
      <c r="L76" s="166">
        <f t="shared" si="29"/>
        <v>100000</v>
      </c>
      <c r="M76" s="166"/>
      <c r="N76" s="166">
        <f t="shared" si="40"/>
        <v>100000</v>
      </c>
      <c r="O76" s="166"/>
      <c r="P76" s="166">
        <f t="shared" si="53"/>
        <v>100000</v>
      </c>
      <c r="Q76" s="166"/>
      <c r="R76" s="166">
        <f t="shared" si="54"/>
        <v>100000</v>
      </c>
      <c r="S76" s="166"/>
      <c r="T76" s="166">
        <f t="shared" si="55"/>
        <v>100000</v>
      </c>
      <c r="U76" s="166"/>
      <c r="V76" s="166">
        <f t="shared" si="56"/>
        <v>100000</v>
      </c>
      <c r="W76" s="166"/>
      <c r="X76" s="166">
        <f t="shared" si="57"/>
        <v>100000</v>
      </c>
      <c r="Y76" s="166"/>
      <c r="Z76" s="166">
        <f t="shared" si="58"/>
        <v>100000</v>
      </c>
      <c r="AA76" s="166">
        <v>-45000</v>
      </c>
      <c r="AB76" s="166">
        <f t="shared" si="59"/>
        <v>55000</v>
      </c>
      <c r="AC76" s="166"/>
      <c r="AD76" s="166">
        <f t="shared" si="60"/>
        <v>55000</v>
      </c>
    </row>
    <row r="77" spans="1:30" s="122" customFormat="1" ht="21" customHeight="1">
      <c r="A77" s="123"/>
      <c r="B77" s="130">
        <v>80148</v>
      </c>
      <c r="C77" s="131"/>
      <c r="D77" s="132" t="s">
        <v>231</v>
      </c>
      <c r="E77" s="133">
        <f aca="true" t="shared" si="61" ref="E77:G78">SUM(E78)</f>
        <v>4000</v>
      </c>
      <c r="F77" s="133">
        <f t="shared" si="61"/>
        <v>0</v>
      </c>
      <c r="G77" s="133">
        <f t="shared" si="61"/>
        <v>0</v>
      </c>
      <c r="H77" s="164">
        <f t="shared" si="12"/>
        <v>4000</v>
      </c>
      <c r="I77" s="164">
        <f>SUM(I78)</f>
        <v>0</v>
      </c>
      <c r="J77" s="164">
        <f t="shared" si="13"/>
        <v>4000</v>
      </c>
      <c r="K77" s="164">
        <f>SUM(K78)</f>
        <v>0</v>
      </c>
      <c r="L77" s="164">
        <f t="shared" si="29"/>
        <v>4000</v>
      </c>
      <c r="M77" s="164">
        <f>SUM(M78)</f>
        <v>0</v>
      </c>
      <c r="N77" s="164">
        <f t="shared" si="40"/>
        <v>4000</v>
      </c>
      <c r="O77" s="164">
        <f>SUM(O78)</f>
        <v>0</v>
      </c>
      <c r="P77" s="164">
        <f t="shared" si="53"/>
        <v>4000</v>
      </c>
      <c r="Q77" s="164">
        <f>SUM(Q78)</f>
        <v>0</v>
      </c>
      <c r="R77" s="164">
        <f t="shared" si="54"/>
        <v>4000</v>
      </c>
      <c r="S77" s="164">
        <f>SUM(S78)</f>
        <v>0</v>
      </c>
      <c r="T77" s="164">
        <f t="shared" si="55"/>
        <v>4000</v>
      </c>
      <c r="U77" s="164">
        <f>SUM(U78)</f>
        <v>1124</v>
      </c>
      <c r="V77" s="164">
        <f t="shared" si="56"/>
        <v>5124</v>
      </c>
      <c r="W77" s="164">
        <f>SUM(W78)</f>
        <v>0</v>
      </c>
      <c r="X77" s="164">
        <f t="shared" si="57"/>
        <v>5124</v>
      </c>
      <c r="Y77" s="164">
        <f>SUM(Y78)</f>
        <v>0</v>
      </c>
      <c r="Z77" s="164">
        <f t="shared" si="58"/>
        <v>5124</v>
      </c>
      <c r="AA77" s="164">
        <f>SUM(AA78)</f>
        <v>0</v>
      </c>
      <c r="AB77" s="164">
        <f t="shared" si="59"/>
        <v>5124</v>
      </c>
      <c r="AC77" s="164">
        <f>SUM(AC78)</f>
        <v>0</v>
      </c>
      <c r="AD77" s="164">
        <f t="shared" si="60"/>
        <v>5124</v>
      </c>
    </row>
    <row r="78" spans="1:30" s="122" customFormat="1" ht="25.5" customHeight="1">
      <c r="A78" s="123"/>
      <c r="B78" s="130"/>
      <c r="C78" s="131">
        <v>6060</v>
      </c>
      <c r="D78" s="12" t="s">
        <v>95</v>
      </c>
      <c r="E78" s="133">
        <f t="shared" si="61"/>
        <v>4000</v>
      </c>
      <c r="F78" s="133">
        <f t="shared" si="61"/>
        <v>0</v>
      </c>
      <c r="G78" s="133">
        <f t="shared" si="61"/>
        <v>0</v>
      </c>
      <c r="H78" s="164">
        <f t="shared" si="12"/>
        <v>4000</v>
      </c>
      <c r="I78" s="164">
        <f>SUM(I79)</f>
        <v>0</v>
      </c>
      <c r="J78" s="164">
        <f t="shared" si="13"/>
        <v>4000</v>
      </c>
      <c r="K78" s="164">
        <f>SUM(K79)</f>
        <v>0</v>
      </c>
      <c r="L78" s="164">
        <f t="shared" si="29"/>
        <v>4000</v>
      </c>
      <c r="M78" s="164">
        <f>SUM(M79)</f>
        <v>0</v>
      </c>
      <c r="N78" s="164">
        <f t="shared" si="40"/>
        <v>4000</v>
      </c>
      <c r="O78" s="164">
        <f>SUM(O79)</f>
        <v>0</v>
      </c>
      <c r="P78" s="164">
        <f t="shared" si="53"/>
        <v>4000</v>
      </c>
      <c r="Q78" s="164">
        <f>SUM(Q79)</f>
        <v>0</v>
      </c>
      <c r="R78" s="164">
        <f t="shared" si="54"/>
        <v>4000</v>
      </c>
      <c r="S78" s="164">
        <f>SUM(S79)</f>
        <v>0</v>
      </c>
      <c r="T78" s="164">
        <f t="shared" si="55"/>
        <v>4000</v>
      </c>
      <c r="U78" s="164">
        <f>SUM(U79)</f>
        <v>1124</v>
      </c>
      <c r="V78" s="164">
        <f t="shared" si="56"/>
        <v>5124</v>
      </c>
      <c r="W78" s="164">
        <f>SUM(W79)</f>
        <v>0</v>
      </c>
      <c r="X78" s="164">
        <f t="shared" si="57"/>
        <v>5124</v>
      </c>
      <c r="Y78" s="164">
        <f>SUM(Y79)</f>
        <v>0</v>
      </c>
      <c r="Z78" s="164">
        <f t="shared" si="58"/>
        <v>5124</v>
      </c>
      <c r="AA78" s="164">
        <f>SUM(AA79)</f>
        <v>0</v>
      </c>
      <c r="AB78" s="164">
        <f t="shared" si="59"/>
        <v>5124</v>
      </c>
      <c r="AC78" s="164">
        <f>SUM(AC79)</f>
        <v>0</v>
      </c>
      <c r="AD78" s="164">
        <f t="shared" si="60"/>
        <v>5124</v>
      </c>
    </row>
    <row r="79" spans="1:30" s="25" customFormat="1" ht="21" customHeight="1">
      <c r="A79" s="42"/>
      <c r="B79" s="41"/>
      <c r="C79" s="43"/>
      <c r="D79" s="44" t="s">
        <v>281</v>
      </c>
      <c r="E79" s="45">
        <v>4000</v>
      </c>
      <c r="F79" s="45"/>
      <c r="G79" s="45"/>
      <c r="H79" s="166">
        <f t="shared" si="12"/>
        <v>4000</v>
      </c>
      <c r="I79" s="164"/>
      <c r="J79" s="166">
        <f t="shared" si="13"/>
        <v>4000</v>
      </c>
      <c r="K79" s="164"/>
      <c r="L79" s="166">
        <f t="shared" si="29"/>
        <v>4000</v>
      </c>
      <c r="M79" s="164"/>
      <c r="N79" s="166">
        <f t="shared" si="40"/>
        <v>4000</v>
      </c>
      <c r="O79" s="164"/>
      <c r="P79" s="166">
        <f t="shared" si="53"/>
        <v>4000</v>
      </c>
      <c r="Q79" s="164"/>
      <c r="R79" s="166">
        <f t="shared" si="54"/>
        <v>4000</v>
      </c>
      <c r="S79" s="164"/>
      <c r="T79" s="166">
        <f t="shared" si="55"/>
        <v>4000</v>
      </c>
      <c r="U79" s="164">
        <v>1124</v>
      </c>
      <c r="V79" s="166">
        <f t="shared" si="56"/>
        <v>5124</v>
      </c>
      <c r="W79" s="164"/>
      <c r="X79" s="166">
        <f t="shared" si="57"/>
        <v>5124</v>
      </c>
      <c r="Y79" s="164"/>
      <c r="Z79" s="166">
        <f t="shared" si="58"/>
        <v>5124</v>
      </c>
      <c r="AA79" s="164"/>
      <c r="AB79" s="166">
        <f t="shared" si="59"/>
        <v>5124</v>
      </c>
      <c r="AC79" s="164"/>
      <c r="AD79" s="166">
        <f t="shared" si="60"/>
        <v>5124</v>
      </c>
    </row>
    <row r="80" spans="1:30" s="39" customFormat="1" ht="21" customHeight="1">
      <c r="A80" s="28">
        <v>854</v>
      </c>
      <c r="B80" s="3"/>
      <c r="C80" s="11"/>
      <c r="D80" s="18" t="s">
        <v>58</v>
      </c>
      <c r="E80" s="40">
        <f>SUM(E81,)</f>
        <v>100000</v>
      </c>
      <c r="F80" s="40">
        <f>SUM(F81,)</f>
        <v>-100000</v>
      </c>
      <c r="G80" s="40">
        <f>SUM(G81,)</f>
        <v>0</v>
      </c>
      <c r="H80" s="38">
        <f t="shared" si="12"/>
        <v>0</v>
      </c>
      <c r="I80" s="38">
        <f>SUM(I81)</f>
        <v>63850</v>
      </c>
      <c r="J80" s="38">
        <f t="shared" si="13"/>
        <v>63850</v>
      </c>
      <c r="K80" s="38">
        <f>SUM(K81)</f>
        <v>0</v>
      </c>
      <c r="L80" s="38">
        <f t="shared" si="29"/>
        <v>63850</v>
      </c>
      <c r="M80" s="38">
        <f>SUM(M81)</f>
        <v>0</v>
      </c>
      <c r="N80" s="38">
        <f t="shared" si="40"/>
        <v>63850</v>
      </c>
      <c r="O80" s="38">
        <f>SUM(O81)</f>
        <v>-63850</v>
      </c>
      <c r="P80" s="38">
        <f t="shared" si="53"/>
        <v>0</v>
      </c>
      <c r="Q80" s="38">
        <f>SUM(Q81)</f>
        <v>0</v>
      </c>
      <c r="R80" s="38">
        <f t="shared" si="54"/>
        <v>0</v>
      </c>
      <c r="S80" s="38">
        <f>SUM(S81)</f>
        <v>0</v>
      </c>
      <c r="T80" s="38">
        <f t="shared" si="55"/>
        <v>0</v>
      </c>
      <c r="U80" s="38">
        <f>SUM(U81)</f>
        <v>0</v>
      </c>
      <c r="V80" s="38">
        <f t="shared" si="56"/>
        <v>0</v>
      </c>
      <c r="W80" s="38">
        <f>SUM(W81)</f>
        <v>0</v>
      </c>
      <c r="X80" s="38">
        <f t="shared" si="57"/>
        <v>0</v>
      </c>
      <c r="Y80" s="38">
        <f>SUM(Y81)</f>
        <v>0</v>
      </c>
      <c r="Z80" s="38">
        <f t="shared" si="58"/>
        <v>0</v>
      </c>
      <c r="AA80" s="38">
        <f>SUM(AA81)</f>
        <v>0</v>
      </c>
      <c r="AB80" s="38">
        <f t="shared" si="59"/>
        <v>0</v>
      </c>
      <c r="AC80" s="38">
        <f>SUM(AC81)</f>
        <v>0</v>
      </c>
      <c r="AD80" s="38">
        <f t="shared" si="60"/>
        <v>0</v>
      </c>
    </row>
    <row r="81" spans="1:30" s="23" customFormat="1" ht="33.75">
      <c r="A81" s="69"/>
      <c r="B81" s="46">
        <v>85412</v>
      </c>
      <c r="C81" s="72"/>
      <c r="D81" s="37" t="s">
        <v>156</v>
      </c>
      <c r="E81" s="88">
        <f>SUM(E82)</f>
        <v>100000</v>
      </c>
      <c r="F81" s="88">
        <f>SUM(F82)</f>
        <v>-100000</v>
      </c>
      <c r="G81" s="88">
        <f>SUM(G82)</f>
        <v>0</v>
      </c>
      <c r="H81" s="164">
        <f t="shared" si="12"/>
        <v>0</v>
      </c>
      <c r="I81" s="164">
        <f>SUM(I82)</f>
        <v>63850</v>
      </c>
      <c r="J81" s="164">
        <f t="shared" si="13"/>
        <v>63850</v>
      </c>
      <c r="K81" s="164">
        <f>SUM(K82)</f>
        <v>0</v>
      </c>
      <c r="L81" s="164">
        <f t="shared" si="29"/>
        <v>63850</v>
      </c>
      <c r="M81" s="164">
        <f>SUM(M82)</f>
        <v>0</v>
      </c>
      <c r="N81" s="164">
        <f t="shared" si="40"/>
        <v>63850</v>
      </c>
      <c r="O81" s="164">
        <f>SUM(O82)</f>
        <v>-63850</v>
      </c>
      <c r="P81" s="164">
        <f t="shared" si="53"/>
        <v>0</v>
      </c>
      <c r="Q81" s="164">
        <f>SUM(Q82)</f>
        <v>0</v>
      </c>
      <c r="R81" s="164">
        <f t="shared" si="54"/>
        <v>0</v>
      </c>
      <c r="S81" s="164">
        <f>SUM(S82)</f>
        <v>0</v>
      </c>
      <c r="T81" s="164">
        <f t="shared" si="55"/>
        <v>0</v>
      </c>
      <c r="U81" s="164">
        <f>SUM(U82)</f>
        <v>0</v>
      </c>
      <c r="V81" s="164">
        <f t="shared" si="56"/>
        <v>0</v>
      </c>
      <c r="W81" s="164">
        <f>SUM(W82)</f>
        <v>0</v>
      </c>
      <c r="X81" s="164">
        <f t="shared" si="57"/>
        <v>0</v>
      </c>
      <c r="Y81" s="164">
        <f>SUM(Y82)</f>
        <v>0</v>
      </c>
      <c r="Z81" s="164">
        <f t="shared" si="58"/>
        <v>0</v>
      </c>
      <c r="AA81" s="164">
        <f>SUM(AA82)</f>
        <v>0</v>
      </c>
      <c r="AB81" s="164">
        <f t="shared" si="59"/>
        <v>0</v>
      </c>
      <c r="AC81" s="164">
        <f>SUM(AC82)</f>
        <v>0</v>
      </c>
      <c r="AD81" s="164">
        <f t="shared" si="60"/>
        <v>0</v>
      </c>
    </row>
    <row r="82" spans="1:30" s="23" customFormat="1" ht="21" customHeight="1">
      <c r="A82" s="69"/>
      <c r="B82" s="46"/>
      <c r="C82" s="72">
        <v>6050</v>
      </c>
      <c r="D82" s="12" t="s">
        <v>72</v>
      </c>
      <c r="E82" s="88">
        <f>SUM(E83:E83)</f>
        <v>100000</v>
      </c>
      <c r="F82" s="88">
        <f>SUM(F83:F83)</f>
        <v>-100000</v>
      </c>
      <c r="G82" s="88">
        <f>SUM(G83:G83)</f>
        <v>0</v>
      </c>
      <c r="H82" s="164">
        <f t="shared" si="12"/>
        <v>0</v>
      </c>
      <c r="I82" s="164">
        <f>SUM(I83)</f>
        <v>63850</v>
      </c>
      <c r="J82" s="164">
        <f t="shared" si="13"/>
        <v>63850</v>
      </c>
      <c r="K82" s="164">
        <f>SUM(K83)</f>
        <v>0</v>
      </c>
      <c r="L82" s="164">
        <f t="shared" si="29"/>
        <v>63850</v>
      </c>
      <c r="M82" s="164">
        <f>SUM(M83)</f>
        <v>0</v>
      </c>
      <c r="N82" s="164">
        <f t="shared" si="40"/>
        <v>63850</v>
      </c>
      <c r="O82" s="164">
        <f>SUM(O83)</f>
        <v>-63850</v>
      </c>
      <c r="P82" s="164">
        <f t="shared" si="53"/>
        <v>0</v>
      </c>
      <c r="Q82" s="164">
        <f>SUM(Q83)</f>
        <v>0</v>
      </c>
      <c r="R82" s="164">
        <f t="shared" si="54"/>
        <v>0</v>
      </c>
      <c r="S82" s="164">
        <f>SUM(S83)</f>
        <v>0</v>
      </c>
      <c r="T82" s="164">
        <f t="shared" si="55"/>
        <v>0</v>
      </c>
      <c r="U82" s="164">
        <f>SUM(U83)</f>
        <v>0</v>
      </c>
      <c r="V82" s="164">
        <f t="shared" si="56"/>
        <v>0</v>
      </c>
      <c r="W82" s="164">
        <f>SUM(W83)</f>
        <v>0</v>
      </c>
      <c r="X82" s="164">
        <f t="shared" si="57"/>
        <v>0</v>
      </c>
      <c r="Y82" s="164">
        <f>SUM(Y83)</f>
        <v>0</v>
      </c>
      <c r="Z82" s="164">
        <f t="shared" si="58"/>
        <v>0</v>
      </c>
      <c r="AA82" s="164">
        <f>SUM(AA83)</f>
        <v>0</v>
      </c>
      <c r="AB82" s="164">
        <f t="shared" si="59"/>
        <v>0</v>
      </c>
      <c r="AC82" s="164">
        <f>SUM(AC83)</f>
        <v>0</v>
      </c>
      <c r="AD82" s="164">
        <f t="shared" si="60"/>
        <v>0</v>
      </c>
    </row>
    <row r="83" spans="1:30" s="25" customFormat="1" ht="22.5">
      <c r="A83" s="42"/>
      <c r="B83" s="41"/>
      <c r="C83" s="43"/>
      <c r="D83" s="44" t="s">
        <v>356</v>
      </c>
      <c r="E83" s="91">
        <v>100000</v>
      </c>
      <c r="F83" s="91">
        <v>-100000</v>
      </c>
      <c r="G83" s="91"/>
      <c r="H83" s="166">
        <f t="shared" si="12"/>
        <v>0</v>
      </c>
      <c r="I83" s="164">
        <v>63850</v>
      </c>
      <c r="J83" s="166">
        <f t="shared" si="13"/>
        <v>63850</v>
      </c>
      <c r="K83" s="164"/>
      <c r="L83" s="166">
        <f t="shared" si="29"/>
        <v>63850</v>
      </c>
      <c r="M83" s="164"/>
      <c r="N83" s="166">
        <f t="shared" si="40"/>
        <v>63850</v>
      </c>
      <c r="O83" s="164">
        <v>-63850</v>
      </c>
      <c r="P83" s="166">
        <f t="shared" si="53"/>
        <v>0</v>
      </c>
      <c r="Q83" s="164"/>
      <c r="R83" s="166">
        <f t="shared" si="54"/>
        <v>0</v>
      </c>
      <c r="S83" s="164"/>
      <c r="T83" s="166">
        <f t="shared" si="55"/>
        <v>0</v>
      </c>
      <c r="U83" s="164"/>
      <c r="V83" s="166">
        <f t="shared" si="56"/>
        <v>0</v>
      </c>
      <c r="W83" s="164"/>
      <c r="X83" s="166">
        <f t="shared" si="57"/>
        <v>0</v>
      </c>
      <c r="Y83" s="164"/>
      <c r="Z83" s="166">
        <f t="shared" si="58"/>
        <v>0</v>
      </c>
      <c r="AA83" s="164"/>
      <c r="AB83" s="166">
        <f t="shared" si="59"/>
        <v>0</v>
      </c>
      <c r="AC83" s="164"/>
      <c r="AD83" s="166">
        <f t="shared" si="60"/>
        <v>0</v>
      </c>
    </row>
    <row r="84" spans="1:30" s="39" customFormat="1" ht="24">
      <c r="A84" s="28" t="s">
        <v>126</v>
      </c>
      <c r="B84" s="3"/>
      <c r="C84" s="19"/>
      <c r="D84" s="18" t="s">
        <v>60</v>
      </c>
      <c r="E84" s="17">
        <f>SUM(E85,E94)</f>
        <v>140000</v>
      </c>
      <c r="F84" s="17">
        <f>SUM(F85,F94)</f>
        <v>0</v>
      </c>
      <c r="G84" s="17">
        <f>SUM(G85,G94)</f>
        <v>735000</v>
      </c>
      <c r="H84" s="17">
        <f>SUM(H85,H94)</f>
        <v>875000</v>
      </c>
      <c r="I84" s="17">
        <f>SUM(I85,I94,)</f>
        <v>-405000</v>
      </c>
      <c r="J84" s="38">
        <f t="shared" si="13"/>
        <v>470000</v>
      </c>
      <c r="K84" s="17">
        <f>SUM(K85,K94,)</f>
        <v>0</v>
      </c>
      <c r="L84" s="38">
        <f t="shared" si="29"/>
        <v>470000</v>
      </c>
      <c r="M84" s="17">
        <f>SUM(M85,M94,)</f>
        <v>0</v>
      </c>
      <c r="N84" s="38">
        <f t="shared" si="40"/>
        <v>470000</v>
      </c>
      <c r="O84" s="17">
        <f>SUM(O85,O94,)</f>
        <v>0</v>
      </c>
      <c r="P84" s="38">
        <f t="shared" si="53"/>
        <v>470000</v>
      </c>
      <c r="Q84" s="17">
        <f>SUM(Q85,Q94,)</f>
        <v>-199100</v>
      </c>
      <c r="R84" s="38">
        <f t="shared" si="54"/>
        <v>270900</v>
      </c>
      <c r="S84" s="17">
        <f>SUM(S85,S94,)</f>
        <v>0</v>
      </c>
      <c r="T84" s="38">
        <f t="shared" si="55"/>
        <v>270900</v>
      </c>
      <c r="U84" s="17">
        <f>SUM(U85,U94,)</f>
        <v>-23900</v>
      </c>
      <c r="V84" s="38">
        <f t="shared" si="56"/>
        <v>247000</v>
      </c>
      <c r="W84" s="17">
        <f>SUM(W85,W94,)</f>
        <v>0</v>
      </c>
      <c r="X84" s="38">
        <f t="shared" si="57"/>
        <v>247000</v>
      </c>
      <c r="Y84" s="17">
        <f>SUM(Y85,Y94,)</f>
        <v>0</v>
      </c>
      <c r="Z84" s="38">
        <f t="shared" si="58"/>
        <v>247000</v>
      </c>
      <c r="AA84" s="17">
        <f>SUM(AA85,AA94,)</f>
        <v>0</v>
      </c>
      <c r="AB84" s="38">
        <f t="shared" si="59"/>
        <v>247000</v>
      </c>
      <c r="AC84" s="17">
        <f>SUM(AC85,AC94,)</f>
        <v>0</v>
      </c>
      <c r="AD84" s="38">
        <f t="shared" si="60"/>
        <v>247000</v>
      </c>
    </row>
    <row r="85" spans="1:30" s="23" customFormat="1" ht="21" customHeight="1">
      <c r="A85" s="69"/>
      <c r="B85" s="70" t="s">
        <v>127</v>
      </c>
      <c r="C85" s="77"/>
      <c r="D85" s="12" t="s">
        <v>61</v>
      </c>
      <c r="E85" s="82">
        <f>SUM(E92,E86)</f>
        <v>140000</v>
      </c>
      <c r="F85" s="82">
        <f>SUM(F92,F86)</f>
        <v>0</v>
      </c>
      <c r="G85" s="82">
        <f>SUM(G92,G86)</f>
        <v>720000</v>
      </c>
      <c r="H85" s="164">
        <f t="shared" si="12"/>
        <v>860000</v>
      </c>
      <c r="I85" s="164">
        <f>SUM(I86,I92,)</f>
        <v>-405000</v>
      </c>
      <c r="J85" s="164">
        <f t="shared" si="13"/>
        <v>455000</v>
      </c>
      <c r="K85" s="164">
        <f>SUM(K86,K92,)</f>
        <v>0</v>
      </c>
      <c r="L85" s="164">
        <f t="shared" si="29"/>
        <v>455000</v>
      </c>
      <c r="M85" s="164">
        <f>SUM(M86,M92,)</f>
        <v>0</v>
      </c>
      <c r="N85" s="164">
        <f t="shared" si="40"/>
        <v>455000</v>
      </c>
      <c r="O85" s="164">
        <f>SUM(O86,O92,)</f>
        <v>0</v>
      </c>
      <c r="P85" s="164">
        <f t="shared" si="53"/>
        <v>455000</v>
      </c>
      <c r="Q85" s="164">
        <f>SUM(Q86,Q92,)</f>
        <v>-199100</v>
      </c>
      <c r="R85" s="164">
        <f t="shared" si="54"/>
        <v>255900</v>
      </c>
      <c r="S85" s="164">
        <f>SUM(S86,S92,)</f>
        <v>0</v>
      </c>
      <c r="T85" s="164">
        <f t="shared" si="55"/>
        <v>255900</v>
      </c>
      <c r="U85" s="164">
        <f>SUM(U86,U92,)</f>
        <v>-23900</v>
      </c>
      <c r="V85" s="164">
        <f t="shared" si="56"/>
        <v>232000</v>
      </c>
      <c r="W85" s="164">
        <f>SUM(W86,W92,)</f>
        <v>0</v>
      </c>
      <c r="X85" s="164">
        <f t="shared" si="57"/>
        <v>232000</v>
      </c>
      <c r="Y85" s="164">
        <f>SUM(Y86,Y92,)</f>
        <v>0</v>
      </c>
      <c r="Z85" s="164">
        <f t="shared" si="58"/>
        <v>232000</v>
      </c>
      <c r="AA85" s="164">
        <f>SUM(AA86,AA92,)</f>
        <v>0</v>
      </c>
      <c r="AB85" s="164">
        <f t="shared" si="59"/>
        <v>232000</v>
      </c>
      <c r="AC85" s="164">
        <f>SUM(AC86,AC92,)</f>
        <v>0</v>
      </c>
      <c r="AD85" s="164">
        <f t="shared" si="60"/>
        <v>232000</v>
      </c>
    </row>
    <row r="86" spans="1:30" s="23" customFormat="1" ht="21" customHeight="1">
      <c r="A86" s="69"/>
      <c r="B86" s="70"/>
      <c r="C86" s="77">
        <v>6050</v>
      </c>
      <c r="D86" s="12" t="s">
        <v>72</v>
      </c>
      <c r="E86" s="82">
        <f>SUM(E87:E91)</f>
        <v>0</v>
      </c>
      <c r="F86" s="82">
        <f>SUM(F87:F91)</f>
        <v>0</v>
      </c>
      <c r="G86" s="82">
        <f>SUM(G87:G91)</f>
        <v>720000</v>
      </c>
      <c r="H86" s="164">
        <f t="shared" si="12"/>
        <v>720000</v>
      </c>
      <c r="I86" s="164">
        <f>SUM(I87:I91)</f>
        <v>-405000</v>
      </c>
      <c r="J86" s="164">
        <f t="shared" si="13"/>
        <v>315000</v>
      </c>
      <c r="K86" s="164">
        <f>SUM(K87:K91)</f>
        <v>0</v>
      </c>
      <c r="L86" s="164">
        <f t="shared" si="29"/>
        <v>315000</v>
      </c>
      <c r="M86" s="164">
        <f>SUM(M87:M91)</f>
        <v>0</v>
      </c>
      <c r="N86" s="164">
        <f t="shared" si="40"/>
        <v>315000</v>
      </c>
      <c r="O86" s="164">
        <f>SUM(O87:O91)</f>
        <v>0</v>
      </c>
      <c r="P86" s="164">
        <f t="shared" si="53"/>
        <v>315000</v>
      </c>
      <c r="Q86" s="164">
        <f>SUM(Q87:Q91)</f>
        <v>-59100</v>
      </c>
      <c r="R86" s="164">
        <f t="shared" si="54"/>
        <v>255900</v>
      </c>
      <c r="S86" s="164">
        <f>SUM(S87:S91)</f>
        <v>0</v>
      </c>
      <c r="T86" s="164">
        <f t="shared" si="55"/>
        <v>255900</v>
      </c>
      <c r="U86" s="164">
        <f>SUM(U87:U91)</f>
        <v>-23900</v>
      </c>
      <c r="V86" s="164">
        <f t="shared" si="56"/>
        <v>232000</v>
      </c>
      <c r="W86" s="164">
        <f>SUM(W87:W91)</f>
        <v>0</v>
      </c>
      <c r="X86" s="164">
        <f t="shared" si="57"/>
        <v>232000</v>
      </c>
      <c r="Y86" s="164">
        <f>SUM(Y87:Y91)</f>
        <v>0</v>
      </c>
      <c r="Z86" s="164">
        <f t="shared" si="58"/>
        <v>232000</v>
      </c>
      <c r="AA86" s="164">
        <f>SUM(AA87:AA91)</f>
        <v>0</v>
      </c>
      <c r="AB86" s="164">
        <f t="shared" si="59"/>
        <v>232000</v>
      </c>
      <c r="AC86" s="164">
        <f>SUM(AC87:AC91)</f>
        <v>0</v>
      </c>
      <c r="AD86" s="164">
        <f t="shared" si="60"/>
        <v>232000</v>
      </c>
    </row>
    <row r="87" spans="1:30" s="139" customFormat="1" ht="36.75" customHeight="1">
      <c r="A87" s="136"/>
      <c r="B87" s="156"/>
      <c r="C87" s="138"/>
      <c r="D87" s="128" t="s">
        <v>288</v>
      </c>
      <c r="E87" s="129">
        <v>0</v>
      </c>
      <c r="F87" s="129"/>
      <c r="G87" s="129">
        <v>400000</v>
      </c>
      <c r="H87" s="166">
        <f t="shared" si="12"/>
        <v>400000</v>
      </c>
      <c r="I87" s="166">
        <v>-317000</v>
      </c>
      <c r="J87" s="166">
        <f t="shared" si="13"/>
        <v>83000</v>
      </c>
      <c r="K87" s="166"/>
      <c r="L87" s="166">
        <f t="shared" si="29"/>
        <v>83000</v>
      </c>
      <c r="M87" s="166"/>
      <c r="N87" s="166">
        <f t="shared" si="40"/>
        <v>83000</v>
      </c>
      <c r="O87" s="166"/>
      <c r="P87" s="166">
        <f t="shared" si="53"/>
        <v>83000</v>
      </c>
      <c r="Q87" s="166">
        <v>-59100</v>
      </c>
      <c r="R87" s="166">
        <f t="shared" si="54"/>
        <v>23900</v>
      </c>
      <c r="S87" s="166"/>
      <c r="T87" s="166">
        <f t="shared" si="55"/>
        <v>23900</v>
      </c>
      <c r="U87" s="166">
        <v>-23900</v>
      </c>
      <c r="V87" s="166">
        <f t="shared" si="56"/>
        <v>0</v>
      </c>
      <c r="W87" s="166"/>
      <c r="X87" s="166">
        <f t="shared" si="57"/>
        <v>0</v>
      </c>
      <c r="Y87" s="166"/>
      <c r="Z87" s="166">
        <f t="shared" si="58"/>
        <v>0</v>
      </c>
      <c r="AA87" s="166"/>
      <c r="AB87" s="166">
        <f t="shared" si="59"/>
        <v>0</v>
      </c>
      <c r="AC87" s="166"/>
      <c r="AD87" s="166">
        <f t="shared" si="60"/>
        <v>0</v>
      </c>
    </row>
    <row r="88" spans="1:30" s="139" customFormat="1" ht="22.5">
      <c r="A88" s="136"/>
      <c r="B88" s="156"/>
      <c r="C88" s="138"/>
      <c r="D88" s="128" t="s">
        <v>330</v>
      </c>
      <c r="E88" s="129">
        <v>0</v>
      </c>
      <c r="F88" s="129"/>
      <c r="G88" s="129">
        <v>65000</v>
      </c>
      <c r="H88" s="166">
        <f t="shared" si="12"/>
        <v>65000</v>
      </c>
      <c r="I88" s="166">
        <v>-65000</v>
      </c>
      <c r="J88" s="166">
        <f aca="true" t="shared" si="62" ref="J88:J106">SUM(H88:I88)</f>
        <v>0</v>
      </c>
      <c r="K88" s="166"/>
      <c r="L88" s="166">
        <f t="shared" si="29"/>
        <v>0</v>
      </c>
      <c r="M88" s="166"/>
      <c r="N88" s="166">
        <f t="shared" si="40"/>
        <v>0</v>
      </c>
      <c r="O88" s="166"/>
      <c r="P88" s="166">
        <f t="shared" si="53"/>
        <v>0</v>
      </c>
      <c r="Q88" s="166"/>
      <c r="R88" s="166">
        <f t="shared" si="54"/>
        <v>0</v>
      </c>
      <c r="S88" s="166"/>
      <c r="T88" s="166">
        <f t="shared" si="55"/>
        <v>0</v>
      </c>
      <c r="U88" s="166"/>
      <c r="V88" s="166">
        <f t="shared" si="56"/>
        <v>0</v>
      </c>
      <c r="W88" s="166"/>
      <c r="X88" s="166">
        <f t="shared" si="57"/>
        <v>0</v>
      </c>
      <c r="Y88" s="166"/>
      <c r="Z88" s="166">
        <f t="shared" si="58"/>
        <v>0</v>
      </c>
      <c r="AA88" s="166"/>
      <c r="AB88" s="166">
        <f t="shared" si="59"/>
        <v>0</v>
      </c>
      <c r="AC88" s="166"/>
      <c r="AD88" s="166">
        <f t="shared" si="60"/>
        <v>0</v>
      </c>
    </row>
    <row r="89" spans="1:30" s="139" customFormat="1" ht="45">
      <c r="A89" s="136"/>
      <c r="B89" s="156"/>
      <c r="C89" s="138"/>
      <c r="D89" s="128" t="s">
        <v>434</v>
      </c>
      <c r="E89" s="129"/>
      <c r="F89" s="129"/>
      <c r="G89" s="129"/>
      <c r="H89" s="166">
        <v>0</v>
      </c>
      <c r="I89" s="166">
        <f>65000</f>
        <v>65000</v>
      </c>
      <c r="J89" s="166">
        <f t="shared" si="62"/>
        <v>65000</v>
      </c>
      <c r="K89" s="166"/>
      <c r="L89" s="166">
        <f t="shared" si="29"/>
        <v>65000</v>
      </c>
      <c r="M89" s="166"/>
      <c r="N89" s="166">
        <f t="shared" si="40"/>
        <v>65000</v>
      </c>
      <c r="O89" s="166"/>
      <c r="P89" s="166">
        <f t="shared" si="53"/>
        <v>65000</v>
      </c>
      <c r="Q89" s="166"/>
      <c r="R89" s="166">
        <f t="shared" si="54"/>
        <v>65000</v>
      </c>
      <c r="S89" s="166"/>
      <c r="T89" s="166">
        <f t="shared" si="55"/>
        <v>65000</v>
      </c>
      <c r="U89" s="166"/>
      <c r="V89" s="166">
        <f t="shared" si="56"/>
        <v>65000</v>
      </c>
      <c r="W89" s="166"/>
      <c r="X89" s="166">
        <f t="shared" si="57"/>
        <v>65000</v>
      </c>
      <c r="Y89" s="166"/>
      <c r="Z89" s="166">
        <f t="shared" si="58"/>
        <v>65000</v>
      </c>
      <c r="AA89" s="166">
        <v>0</v>
      </c>
      <c r="AB89" s="166">
        <f t="shared" si="59"/>
        <v>65000</v>
      </c>
      <c r="AC89" s="166">
        <v>0</v>
      </c>
      <c r="AD89" s="166">
        <f t="shared" si="60"/>
        <v>65000</v>
      </c>
    </row>
    <row r="90" spans="1:30" s="139" customFormat="1" ht="22.5" customHeight="1">
      <c r="A90" s="136"/>
      <c r="B90" s="156"/>
      <c r="C90" s="138"/>
      <c r="D90" s="128" t="s">
        <v>287</v>
      </c>
      <c r="E90" s="129">
        <v>0</v>
      </c>
      <c r="F90" s="129"/>
      <c r="G90" s="129">
        <v>250000</v>
      </c>
      <c r="H90" s="166">
        <f t="shared" si="12"/>
        <v>250000</v>
      </c>
      <c r="I90" s="166">
        <v>-88000</v>
      </c>
      <c r="J90" s="166">
        <f t="shared" si="62"/>
        <v>162000</v>
      </c>
      <c r="K90" s="166"/>
      <c r="L90" s="166">
        <f t="shared" si="29"/>
        <v>162000</v>
      </c>
      <c r="M90" s="166"/>
      <c r="N90" s="166">
        <f t="shared" si="40"/>
        <v>162000</v>
      </c>
      <c r="O90" s="166"/>
      <c r="P90" s="166">
        <f t="shared" si="53"/>
        <v>162000</v>
      </c>
      <c r="Q90" s="166"/>
      <c r="R90" s="166">
        <f t="shared" si="54"/>
        <v>162000</v>
      </c>
      <c r="S90" s="166"/>
      <c r="T90" s="166">
        <f t="shared" si="55"/>
        <v>162000</v>
      </c>
      <c r="U90" s="166"/>
      <c r="V90" s="166">
        <f t="shared" si="56"/>
        <v>162000</v>
      </c>
      <c r="W90" s="166"/>
      <c r="X90" s="166">
        <f t="shared" si="57"/>
        <v>162000</v>
      </c>
      <c r="Y90" s="166"/>
      <c r="Z90" s="166">
        <f t="shared" si="58"/>
        <v>162000</v>
      </c>
      <c r="AA90" s="166"/>
      <c r="AB90" s="166">
        <f t="shared" si="59"/>
        <v>162000</v>
      </c>
      <c r="AC90" s="166"/>
      <c r="AD90" s="166">
        <f t="shared" si="60"/>
        <v>162000</v>
      </c>
    </row>
    <row r="91" spans="1:30" s="139" customFormat="1" ht="21" customHeight="1">
      <c r="A91" s="136"/>
      <c r="B91" s="156"/>
      <c r="C91" s="138"/>
      <c r="D91" s="128" t="s">
        <v>298</v>
      </c>
      <c r="E91" s="129">
        <v>0</v>
      </c>
      <c r="F91" s="129"/>
      <c r="G91" s="129">
        <v>5000</v>
      </c>
      <c r="H91" s="166">
        <f t="shared" si="12"/>
        <v>5000</v>
      </c>
      <c r="I91" s="166"/>
      <c r="J91" s="166">
        <f t="shared" si="62"/>
        <v>5000</v>
      </c>
      <c r="K91" s="166"/>
      <c r="L91" s="166">
        <f t="shared" si="29"/>
        <v>5000</v>
      </c>
      <c r="M91" s="166"/>
      <c r="N91" s="166">
        <f t="shared" si="40"/>
        <v>5000</v>
      </c>
      <c r="O91" s="166"/>
      <c r="P91" s="166">
        <f t="shared" si="53"/>
        <v>5000</v>
      </c>
      <c r="Q91" s="166"/>
      <c r="R91" s="166">
        <f t="shared" si="54"/>
        <v>5000</v>
      </c>
      <c r="S91" s="166"/>
      <c r="T91" s="166">
        <f t="shared" si="55"/>
        <v>5000</v>
      </c>
      <c r="U91" s="166"/>
      <c r="V91" s="166">
        <f t="shared" si="56"/>
        <v>5000</v>
      </c>
      <c r="W91" s="166"/>
      <c r="X91" s="166">
        <f t="shared" si="57"/>
        <v>5000</v>
      </c>
      <c r="Y91" s="166"/>
      <c r="Z91" s="166">
        <f t="shared" si="58"/>
        <v>5000</v>
      </c>
      <c r="AA91" s="166">
        <v>0</v>
      </c>
      <c r="AB91" s="166">
        <f t="shared" si="59"/>
        <v>5000</v>
      </c>
      <c r="AC91" s="166">
        <v>0</v>
      </c>
      <c r="AD91" s="166">
        <f t="shared" si="60"/>
        <v>5000</v>
      </c>
    </row>
    <row r="92" spans="1:30" s="25" customFormat="1" ht="45">
      <c r="A92" s="42"/>
      <c r="B92" s="95"/>
      <c r="C92" s="70">
        <v>6010</v>
      </c>
      <c r="D92" s="12" t="s">
        <v>246</v>
      </c>
      <c r="E92" s="91">
        <f>SUM(E93)</f>
        <v>140000</v>
      </c>
      <c r="F92" s="91">
        <f>SUM(F93)</f>
        <v>0</v>
      </c>
      <c r="G92" s="91">
        <f>SUM(G93)</f>
        <v>0</v>
      </c>
      <c r="H92" s="164">
        <f t="shared" si="12"/>
        <v>140000</v>
      </c>
      <c r="I92" s="164">
        <f>SUM(I93)</f>
        <v>0</v>
      </c>
      <c r="J92" s="164">
        <f t="shared" si="62"/>
        <v>140000</v>
      </c>
      <c r="K92" s="164">
        <f>SUM(K93)</f>
        <v>0</v>
      </c>
      <c r="L92" s="164">
        <f t="shared" si="29"/>
        <v>140000</v>
      </c>
      <c r="M92" s="164">
        <f>SUM(M93)</f>
        <v>0</v>
      </c>
      <c r="N92" s="164">
        <f t="shared" si="40"/>
        <v>140000</v>
      </c>
      <c r="O92" s="164">
        <f>SUM(O93)</f>
        <v>0</v>
      </c>
      <c r="P92" s="164">
        <f t="shared" si="53"/>
        <v>140000</v>
      </c>
      <c r="Q92" s="164">
        <f>SUM(Q93)</f>
        <v>-140000</v>
      </c>
      <c r="R92" s="164">
        <f t="shared" si="54"/>
        <v>0</v>
      </c>
      <c r="S92" s="164">
        <f>SUM(S93)</f>
        <v>0</v>
      </c>
      <c r="T92" s="164">
        <f t="shared" si="55"/>
        <v>0</v>
      </c>
      <c r="U92" s="164">
        <f>SUM(U93)</f>
        <v>0</v>
      </c>
      <c r="V92" s="164">
        <f t="shared" si="56"/>
        <v>0</v>
      </c>
      <c r="W92" s="164">
        <f>SUM(W93)</f>
        <v>0</v>
      </c>
      <c r="X92" s="164">
        <f t="shared" si="57"/>
        <v>0</v>
      </c>
      <c r="Y92" s="164">
        <f>SUM(Y93)</f>
        <v>0</v>
      </c>
      <c r="Z92" s="164">
        <f t="shared" si="58"/>
        <v>0</v>
      </c>
      <c r="AA92" s="164">
        <f>SUM(AA93)</f>
        <v>0</v>
      </c>
      <c r="AB92" s="164">
        <f t="shared" si="59"/>
        <v>0</v>
      </c>
      <c r="AC92" s="164">
        <f>SUM(AC93)</f>
        <v>0</v>
      </c>
      <c r="AD92" s="164">
        <f t="shared" si="60"/>
        <v>0</v>
      </c>
    </row>
    <row r="93" spans="1:30" s="25" customFormat="1" ht="23.25" customHeight="1">
      <c r="A93" s="42"/>
      <c r="B93" s="95"/>
      <c r="C93" s="103"/>
      <c r="D93" s="47" t="s">
        <v>269</v>
      </c>
      <c r="E93" s="91">
        <v>140000</v>
      </c>
      <c r="F93" s="91"/>
      <c r="G93" s="91"/>
      <c r="H93" s="164">
        <f t="shared" si="12"/>
        <v>140000</v>
      </c>
      <c r="I93" s="164"/>
      <c r="J93" s="166">
        <f t="shared" si="62"/>
        <v>140000</v>
      </c>
      <c r="K93" s="164"/>
      <c r="L93" s="166">
        <f t="shared" si="29"/>
        <v>140000</v>
      </c>
      <c r="M93" s="164"/>
      <c r="N93" s="166">
        <f t="shared" si="40"/>
        <v>140000</v>
      </c>
      <c r="O93" s="164"/>
      <c r="P93" s="166">
        <f t="shared" si="53"/>
        <v>140000</v>
      </c>
      <c r="Q93" s="164">
        <v>-140000</v>
      </c>
      <c r="R93" s="166">
        <f t="shared" si="54"/>
        <v>0</v>
      </c>
      <c r="S93" s="164"/>
      <c r="T93" s="166">
        <f t="shared" si="55"/>
        <v>0</v>
      </c>
      <c r="U93" s="164"/>
      <c r="V93" s="166">
        <f t="shared" si="56"/>
        <v>0</v>
      </c>
      <c r="W93" s="164"/>
      <c r="X93" s="166">
        <f t="shared" si="57"/>
        <v>0</v>
      </c>
      <c r="Y93" s="164"/>
      <c r="Z93" s="166">
        <f t="shared" si="58"/>
        <v>0</v>
      </c>
      <c r="AA93" s="164"/>
      <c r="AB93" s="166">
        <f t="shared" si="59"/>
        <v>0</v>
      </c>
      <c r="AC93" s="164"/>
      <c r="AD93" s="166">
        <f t="shared" si="60"/>
        <v>0</v>
      </c>
    </row>
    <row r="94" spans="1:30" s="122" customFormat="1" ht="23.25" customHeight="1">
      <c r="A94" s="123"/>
      <c r="B94" s="124">
        <v>90015</v>
      </c>
      <c r="C94" s="125"/>
      <c r="D94" s="37" t="s">
        <v>134</v>
      </c>
      <c r="E94" s="146">
        <f>SUM(E95)</f>
        <v>0</v>
      </c>
      <c r="F94" s="146">
        <f>SUM(F95)</f>
        <v>0</v>
      </c>
      <c r="G94" s="146">
        <f>SUM(G95)</f>
        <v>15000</v>
      </c>
      <c r="H94" s="146">
        <f>SUM(H95)</f>
        <v>15000</v>
      </c>
      <c r="I94" s="146">
        <f>SUM(I95)</f>
        <v>0</v>
      </c>
      <c r="J94" s="164">
        <f t="shared" si="62"/>
        <v>15000</v>
      </c>
      <c r="K94" s="146">
        <f>SUM(K95)</f>
        <v>0</v>
      </c>
      <c r="L94" s="164">
        <f t="shared" si="29"/>
        <v>15000</v>
      </c>
      <c r="M94" s="146">
        <f>SUM(M95)</f>
        <v>0</v>
      </c>
      <c r="N94" s="164">
        <f t="shared" si="40"/>
        <v>15000</v>
      </c>
      <c r="O94" s="146">
        <f>SUM(O95)</f>
        <v>0</v>
      </c>
      <c r="P94" s="164">
        <f t="shared" si="53"/>
        <v>15000</v>
      </c>
      <c r="Q94" s="146">
        <f>SUM(Q95)</f>
        <v>0</v>
      </c>
      <c r="R94" s="164">
        <f t="shared" si="54"/>
        <v>15000</v>
      </c>
      <c r="S94" s="146">
        <f>SUM(S95)</f>
        <v>0</v>
      </c>
      <c r="T94" s="164">
        <f t="shared" si="55"/>
        <v>15000</v>
      </c>
      <c r="U94" s="146">
        <f>SUM(U95)</f>
        <v>0</v>
      </c>
      <c r="V94" s="164">
        <f t="shared" si="56"/>
        <v>15000</v>
      </c>
      <c r="W94" s="146">
        <f>SUM(W95)</f>
        <v>0</v>
      </c>
      <c r="X94" s="164">
        <f t="shared" si="57"/>
        <v>15000</v>
      </c>
      <c r="Y94" s="146">
        <f>SUM(Y95)</f>
        <v>0</v>
      </c>
      <c r="Z94" s="164">
        <f t="shared" si="58"/>
        <v>15000</v>
      </c>
      <c r="AA94" s="146">
        <f>SUM(AA95)</f>
        <v>0</v>
      </c>
      <c r="AB94" s="164">
        <f t="shared" si="59"/>
        <v>15000</v>
      </c>
      <c r="AC94" s="146">
        <f>SUM(AC95)</f>
        <v>0</v>
      </c>
      <c r="AD94" s="164">
        <f t="shared" si="60"/>
        <v>15000</v>
      </c>
    </row>
    <row r="95" spans="1:30" s="122" customFormat="1" ht="23.25" customHeight="1">
      <c r="A95" s="123"/>
      <c r="B95" s="124"/>
      <c r="C95" s="125">
        <v>6050</v>
      </c>
      <c r="D95" s="12" t="s">
        <v>72</v>
      </c>
      <c r="E95" s="146">
        <f>SUM(E96:E97)</f>
        <v>0</v>
      </c>
      <c r="F95" s="146">
        <f>SUM(F96:F97)</f>
        <v>0</v>
      </c>
      <c r="G95" s="146">
        <f>SUM(G96:G97)</f>
        <v>15000</v>
      </c>
      <c r="H95" s="146">
        <f>SUM(H96:H97)</f>
        <v>15000</v>
      </c>
      <c r="I95" s="146">
        <f>SUM(I96:I97)</f>
        <v>0</v>
      </c>
      <c r="J95" s="164">
        <f t="shared" si="62"/>
        <v>15000</v>
      </c>
      <c r="K95" s="146">
        <f>SUM(K96:K97)</f>
        <v>0</v>
      </c>
      <c r="L95" s="164">
        <f t="shared" si="29"/>
        <v>15000</v>
      </c>
      <c r="M95" s="146">
        <f>SUM(M96:M97)</f>
        <v>0</v>
      </c>
      <c r="N95" s="164">
        <f t="shared" si="40"/>
        <v>15000</v>
      </c>
      <c r="O95" s="146">
        <f>SUM(O96:O97)</f>
        <v>0</v>
      </c>
      <c r="P95" s="164">
        <f t="shared" si="53"/>
        <v>15000</v>
      </c>
      <c r="Q95" s="146">
        <f>SUM(Q96:Q97)</f>
        <v>0</v>
      </c>
      <c r="R95" s="164">
        <f t="shared" si="54"/>
        <v>15000</v>
      </c>
      <c r="S95" s="146">
        <f>SUM(S96:S97)</f>
        <v>0</v>
      </c>
      <c r="T95" s="164">
        <f t="shared" si="55"/>
        <v>15000</v>
      </c>
      <c r="U95" s="146">
        <f>SUM(U96:U97)</f>
        <v>0</v>
      </c>
      <c r="V95" s="164">
        <f t="shared" si="56"/>
        <v>15000</v>
      </c>
      <c r="W95" s="146">
        <f>SUM(W96:W97)</f>
        <v>0</v>
      </c>
      <c r="X95" s="164">
        <f t="shared" si="57"/>
        <v>15000</v>
      </c>
      <c r="Y95" s="146">
        <f>SUM(Y96:Y97)</f>
        <v>0</v>
      </c>
      <c r="Z95" s="164">
        <f t="shared" si="58"/>
        <v>15000</v>
      </c>
      <c r="AA95" s="146">
        <f>SUM(AA96:AA97)</f>
        <v>0</v>
      </c>
      <c r="AB95" s="164">
        <f t="shared" si="59"/>
        <v>15000</v>
      </c>
      <c r="AC95" s="146">
        <f>SUM(AC96:AC97)</f>
        <v>0</v>
      </c>
      <c r="AD95" s="164">
        <f t="shared" si="60"/>
        <v>15000</v>
      </c>
    </row>
    <row r="96" spans="1:30" s="139" customFormat="1" ht="23.25" customHeight="1">
      <c r="A96" s="136"/>
      <c r="B96" s="156"/>
      <c r="C96" s="172"/>
      <c r="D96" s="173" t="s">
        <v>291</v>
      </c>
      <c r="E96" s="140">
        <v>0</v>
      </c>
      <c r="F96" s="140"/>
      <c r="G96" s="140">
        <v>5000</v>
      </c>
      <c r="H96" s="166">
        <f>SUM(E96:G96)</f>
        <v>5000</v>
      </c>
      <c r="I96" s="166"/>
      <c r="J96" s="166">
        <f t="shared" si="62"/>
        <v>5000</v>
      </c>
      <c r="K96" s="166"/>
      <c r="L96" s="166">
        <f t="shared" si="29"/>
        <v>5000</v>
      </c>
      <c r="M96" s="166"/>
      <c r="N96" s="166">
        <f t="shared" si="40"/>
        <v>5000</v>
      </c>
      <c r="O96" s="166"/>
      <c r="P96" s="166">
        <f t="shared" si="53"/>
        <v>5000</v>
      </c>
      <c r="Q96" s="166"/>
      <c r="R96" s="166">
        <f t="shared" si="54"/>
        <v>5000</v>
      </c>
      <c r="S96" s="166"/>
      <c r="T96" s="166">
        <f t="shared" si="55"/>
        <v>5000</v>
      </c>
      <c r="U96" s="166"/>
      <c r="V96" s="166">
        <f t="shared" si="56"/>
        <v>5000</v>
      </c>
      <c r="W96" s="166"/>
      <c r="X96" s="166">
        <f t="shared" si="57"/>
        <v>5000</v>
      </c>
      <c r="Y96" s="166"/>
      <c r="Z96" s="166">
        <f t="shared" si="58"/>
        <v>5000</v>
      </c>
      <c r="AA96" s="166">
        <v>0</v>
      </c>
      <c r="AB96" s="166">
        <f t="shared" si="59"/>
        <v>5000</v>
      </c>
      <c r="AC96" s="166">
        <v>0</v>
      </c>
      <c r="AD96" s="166">
        <f t="shared" si="60"/>
        <v>5000</v>
      </c>
    </row>
    <row r="97" spans="1:30" s="139" customFormat="1" ht="23.25" customHeight="1">
      <c r="A97" s="136"/>
      <c r="B97" s="156"/>
      <c r="C97" s="172"/>
      <c r="D97" s="173" t="s">
        <v>292</v>
      </c>
      <c r="E97" s="140">
        <v>0</v>
      </c>
      <c r="F97" s="140"/>
      <c r="G97" s="140">
        <v>10000</v>
      </c>
      <c r="H97" s="166">
        <f>SUM(E97:G97)</f>
        <v>10000</v>
      </c>
      <c r="I97" s="166"/>
      <c r="J97" s="166">
        <f t="shared" si="62"/>
        <v>10000</v>
      </c>
      <c r="K97" s="166"/>
      <c r="L97" s="166">
        <f t="shared" si="29"/>
        <v>10000</v>
      </c>
      <c r="M97" s="166"/>
      <c r="N97" s="166">
        <f t="shared" si="40"/>
        <v>10000</v>
      </c>
      <c r="O97" s="166"/>
      <c r="P97" s="166">
        <f t="shared" si="53"/>
        <v>10000</v>
      </c>
      <c r="Q97" s="166"/>
      <c r="R97" s="166">
        <f t="shared" si="54"/>
        <v>10000</v>
      </c>
      <c r="S97" s="166"/>
      <c r="T97" s="166">
        <f t="shared" si="55"/>
        <v>10000</v>
      </c>
      <c r="U97" s="166"/>
      <c r="V97" s="166">
        <f t="shared" si="56"/>
        <v>10000</v>
      </c>
      <c r="W97" s="166"/>
      <c r="X97" s="166">
        <f t="shared" si="57"/>
        <v>10000</v>
      </c>
      <c r="Y97" s="166"/>
      <c r="Z97" s="166">
        <f t="shared" si="58"/>
        <v>10000</v>
      </c>
      <c r="AA97" s="166">
        <v>0</v>
      </c>
      <c r="AB97" s="166">
        <f t="shared" si="59"/>
        <v>10000</v>
      </c>
      <c r="AC97" s="166">
        <v>0</v>
      </c>
      <c r="AD97" s="166">
        <f t="shared" si="60"/>
        <v>10000</v>
      </c>
    </row>
    <row r="98" spans="1:30" s="25" customFormat="1" ht="21" customHeight="1">
      <c r="A98" s="28">
        <v>926</v>
      </c>
      <c r="B98" s="3"/>
      <c r="C98" s="19"/>
      <c r="D98" s="18" t="s">
        <v>65</v>
      </c>
      <c r="E98" s="17">
        <f>SUM(E99,E104)</f>
        <v>2356380</v>
      </c>
      <c r="F98" s="17">
        <f>SUM(F99,F104)</f>
        <v>-850000</v>
      </c>
      <c r="G98" s="17">
        <f>SUM(G99,G104)</f>
        <v>100000</v>
      </c>
      <c r="H98" s="38">
        <f t="shared" si="12"/>
        <v>1606380</v>
      </c>
      <c r="I98" s="38">
        <f>SUM(I99,I104,)</f>
        <v>0</v>
      </c>
      <c r="J98" s="38">
        <f t="shared" si="62"/>
        <v>1606380</v>
      </c>
      <c r="K98" s="38">
        <f>SUM(K99,K104,)</f>
        <v>0</v>
      </c>
      <c r="L98" s="38">
        <f t="shared" si="29"/>
        <v>1606380</v>
      </c>
      <c r="M98" s="38">
        <f>SUM(M99,M104,)</f>
        <v>0</v>
      </c>
      <c r="N98" s="38">
        <f t="shared" si="40"/>
        <v>1606380</v>
      </c>
      <c r="O98" s="38">
        <f>SUM(O99,O104,)</f>
        <v>0</v>
      </c>
      <c r="P98" s="38">
        <f t="shared" si="53"/>
        <v>1606380</v>
      </c>
      <c r="Q98" s="38">
        <f>SUM(Q99,Q104,)</f>
        <v>0</v>
      </c>
      <c r="R98" s="38">
        <f t="shared" si="54"/>
        <v>1606380</v>
      </c>
      <c r="S98" s="38">
        <f>SUM(S99,S104,)</f>
        <v>0</v>
      </c>
      <c r="T98" s="38">
        <f t="shared" si="55"/>
        <v>1606380</v>
      </c>
      <c r="U98" s="38">
        <f>SUM(U99,U104,)</f>
        <v>0</v>
      </c>
      <c r="V98" s="38">
        <f t="shared" si="56"/>
        <v>1606380</v>
      </c>
      <c r="W98" s="38">
        <f>SUM(W99,W104,)</f>
        <v>0</v>
      </c>
      <c r="X98" s="38">
        <f t="shared" si="57"/>
        <v>1606380</v>
      </c>
      <c r="Y98" s="38">
        <f>SUM(Y99,Y104,)</f>
        <v>0</v>
      </c>
      <c r="Z98" s="38">
        <f t="shared" si="58"/>
        <v>1606380</v>
      </c>
      <c r="AA98" s="38">
        <f>SUM(AA99,AA104,)</f>
        <v>-149930</v>
      </c>
      <c r="AB98" s="38">
        <f t="shared" si="59"/>
        <v>1456450</v>
      </c>
      <c r="AC98" s="38">
        <f>SUM(AC99,AC104,)</f>
        <v>0</v>
      </c>
      <c r="AD98" s="38">
        <f t="shared" si="60"/>
        <v>1456450</v>
      </c>
    </row>
    <row r="99" spans="1:30" s="122" customFormat="1" ht="21" customHeight="1">
      <c r="A99" s="123"/>
      <c r="B99" s="130">
        <v>92601</v>
      </c>
      <c r="C99" s="135"/>
      <c r="D99" s="149" t="s">
        <v>233</v>
      </c>
      <c r="E99" s="150">
        <f>SUM(E100)</f>
        <v>1956380</v>
      </c>
      <c r="F99" s="150">
        <f>SUM(F100)</f>
        <v>-600000</v>
      </c>
      <c r="G99" s="150">
        <f>SUM(G100)</f>
        <v>100000</v>
      </c>
      <c r="H99" s="164">
        <f t="shared" si="12"/>
        <v>1456380</v>
      </c>
      <c r="I99" s="164">
        <f>SUM(I100)</f>
        <v>0</v>
      </c>
      <c r="J99" s="164">
        <f t="shared" si="62"/>
        <v>1456380</v>
      </c>
      <c r="K99" s="164">
        <f>SUM(K100)</f>
        <v>0</v>
      </c>
      <c r="L99" s="164">
        <f t="shared" si="29"/>
        <v>1456380</v>
      </c>
      <c r="M99" s="164">
        <f>SUM(M100)</f>
        <v>0</v>
      </c>
      <c r="N99" s="164">
        <f t="shared" si="40"/>
        <v>1456380</v>
      </c>
      <c r="O99" s="164">
        <f>SUM(O100)</f>
        <v>0</v>
      </c>
      <c r="P99" s="164">
        <f t="shared" si="53"/>
        <v>1456380</v>
      </c>
      <c r="Q99" s="164">
        <f>SUM(Q100)</f>
        <v>0</v>
      </c>
      <c r="R99" s="164">
        <f t="shared" si="54"/>
        <v>1456380</v>
      </c>
      <c r="S99" s="164">
        <f>SUM(S100)</f>
        <v>0</v>
      </c>
      <c r="T99" s="164">
        <f t="shared" si="55"/>
        <v>1456380</v>
      </c>
      <c r="U99" s="164">
        <f>SUM(U100)</f>
        <v>0</v>
      </c>
      <c r="V99" s="164">
        <f t="shared" si="56"/>
        <v>1456380</v>
      </c>
      <c r="W99" s="164">
        <f>SUM(W100)</f>
        <v>0</v>
      </c>
      <c r="X99" s="164">
        <f t="shared" si="57"/>
        <v>1456380</v>
      </c>
      <c r="Y99" s="164">
        <f>SUM(Y100)</f>
        <v>0</v>
      </c>
      <c r="Z99" s="164">
        <f t="shared" si="58"/>
        <v>1456380</v>
      </c>
      <c r="AA99" s="164">
        <f>SUM(AA100)</f>
        <v>-49930</v>
      </c>
      <c r="AB99" s="164">
        <f t="shared" si="59"/>
        <v>1406450</v>
      </c>
      <c r="AC99" s="164">
        <f>SUM(AC100)</f>
        <v>0</v>
      </c>
      <c r="AD99" s="164">
        <f t="shared" si="60"/>
        <v>1406450</v>
      </c>
    </row>
    <row r="100" spans="1:30" s="122" customFormat="1" ht="21" customHeight="1">
      <c r="A100" s="123"/>
      <c r="B100" s="130"/>
      <c r="C100" s="135">
        <v>6050</v>
      </c>
      <c r="D100" s="12" t="s">
        <v>72</v>
      </c>
      <c r="E100" s="150">
        <f>SUM(E101:E103)</f>
        <v>1956380</v>
      </c>
      <c r="F100" s="150">
        <f>SUM(F101:F103)</f>
        <v>-600000</v>
      </c>
      <c r="G100" s="150">
        <f>SUM(G101:G103)</f>
        <v>100000</v>
      </c>
      <c r="H100" s="164">
        <f t="shared" si="12"/>
        <v>1456380</v>
      </c>
      <c r="I100" s="164">
        <f>SUM(I101:I103)</f>
        <v>0</v>
      </c>
      <c r="J100" s="164">
        <f t="shared" si="62"/>
        <v>1456380</v>
      </c>
      <c r="K100" s="164">
        <f>SUM(K101:K103)</f>
        <v>0</v>
      </c>
      <c r="L100" s="164">
        <f t="shared" si="29"/>
        <v>1456380</v>
      </c>
      <c r="M100" s="164">
        <f>SUM(M101:M103)</f>
        <v>0</v>
      </c>
      <c r="N100" s="164">
        <f t="shared" si="40"/>
        <v>1456380</v>
      </c>
      <c r="O100" s="164">
        <f>SUM(O101:O103)</f>
        <v>0</v>
      </c>
      <c r="P100" s="164">
        <f t="shared" si="53"/>
        <v>1456380</v>
      </c>
      <c r="Q100" s="164">
        <f>SUM(Q101:Q103)</f>
        <v>0</v>
      </c>
      <c r="R100" s="164">
        <f t="shared" si="54"/>
        <v>1456380</v>
      </c>
      <c r="S100" s="164">
        <f>SUM(S101:S103)</f>
        <v>0</v>
      </c>
      <c r="T100" s="164">
        <f t="shared" si="55"/>
        <v>1456380</v>
      </c>
      <c r="U100" s="164">
        <f>SUM(U101:U103)</f>
        <v>0</v>
      </c>
      <c r="V100" s="164">
        <f t="shared" si="56"/>
        <v>1456380</v>
      </c>
      <c r="W100" s="164">
        <f>SUM(W101:W103)</f>
        <v>0</v>
      </c>
      <c r="X100" s="164">
        <f t="shared" si="57"/>
        <v>1456380</v>
      </c>
      <c r="Y100" s="164">
        <f>SUM(Y101:Y103)</f>
        <v>0</v>
      </c>
      <c r="Z100" s="164">
        <f t="shared" si="58"/>
        <v>1456380</v>
      </c>
      <c r="AA100" s="164">
        <f>SUM(AA101:AA103)</f>
        <v>-49930</v>
      </c>
      <c r="AB100" s="164">
        <f t="shared" si="59"/>
        <v>1406450</v>
      </c>
      <c r="AC100" s="164">
        <f>SUM(AC101:AC103)</f>
        <v>0</v>
      </c>
      <c r="AD100" s="164">
        <f t="shared" si="60"/>
        <v>1406450</v>
      </c>
    </row>
    <row r="101" spans="1:30" s="139" customFormat="1" ht="21" customHeight="1">
      <c r="A101" s="136"/>
      <c r="B101" s="137"/>
      <c r="C101" s="138"/>
      <c r="D101" s="151" t="s">
        <v>270</v>
      </c>
      <c r="E101" s="152">
        <v>70000</v>
      </c>
      <c r="F101" s="152"/>
      <c r="G101" s="152"/>
      <c r="H101" s="166">
        <f t="shared" si="12"/>
        <v>70000</v>
      </c>
      <c r="I101" s="166"/>
      <c r="J101" s="166">
        <f t="shared" si="62"/>
        <v>70000</v>
      </c>
      <c r="K101" s="166"/>
      <c r="L101" s="166">
        <f t="shared" si="29"/>
        <v>70000</v>
      </c>
      <c r="M101" s="166"/>
      <c r="N101" s="166">
        <f t="shared" si="40"/>
        <v>70000</v>
      </c>
      <c r="O101" s="166"/>
      <c r="P101" s="166">
        <f t="shared" si="53"/>
        <v>70000</v>
      </c>
      <c r="Q101" s="166"/>
      <c r="R101" s="166">
        <f t="shared" si="54"/>
        <v>70000</v>
      </c>
      <c r="S101" s="166"/>
      <c r="T101" s="166">
        <f t="shared" si="55"/>
        <v>70000</v>
      </c>
      <c r="U101" s="166"/>
      <c r="V101" s="166">
        <f t="shared" si="56"/>
        <v>70000</v>
      </c>
      <c r="W101" s="166"/>
      <c r="X101" s="166">
        <f t="shared" si="57"/>
        <v>70000</v>
      </c>
      <c r="Y101" s="166"/>
      <c r="Z101" s="166">
        <f t="shared" si="58"/>
        <v>70000</v>
      </c>
      <c r="AA101" s="166">
        <v>0</v>
      </c>
      <c r="AB101" s="166">
        <f t="shared" si="59"/>
        <v>70000</v>
      </c>
      <c r="AC101" s="166">
        <v>0</v>
      </c>
      <c r="AD101" s="166">
        <f t="shared" si="60"/>
        <v>70000</v>
      </c>
    </row>
    <row r="102" spans="1:30" s="139" customFormat="1" ht="26.25" customHeight="1">
      <c r="A102" s="136"/>
      <c r="B102" s="137"/>
      <c r="C102" s="138"/>
      <c r="D102" s="151" t="s">
        <v>294</v>
      </c>
      <c r="E102" s="152">
        <v>0</v>
      </c>
      <c r="F102" s="152"/>
      <c r="G102" s="152">
        <v>100000</v>
      </c>
      <c r="H102" s="166">
        <f t="shared" si="12"/>
        <v>100000</v>
      </c>
      <c r="I102" s="166"/>
      <c r="J102" s="166">
        <f t="shared" si="62"/>
        <v>100000</v>
      </c>
      <c r="K102" s="166"/>
      <c r="L102" s="166">
        <f t="shared" si="29"/>
        <v>100000</v>
      </c>
      <c r="M102" s="166"/>
      <c r="N102" s="166">
        <f t="shared" si="40"/>
        <v>100000</v>
      </c>
      <c r="O102" s="166"/>
      <c r="P102" s="166">
        <f t="shared" si="53"/>
        <v>100000</v>
      </c>
      <c r="Q102" s="166"/>
      <c r="R102" s="166">
        <f t="shared" si="54"/>
        <v>100000</v>
      </c>
      <c r="S102" s="166"/>
      <c r="T102" s="166">
        <f t="shared" si="55"/>
        <v>100000</v>
      </c>
      <c r="U102" s="166"/>
      <c r="V102" s="166">
        <f t="shared" si="56"/>
        <v>100000</v>
      </c>
      <c r="W102" s="166"/>
      <c r="X102" s="166">
        <f t="shared" si="57"/>
        <v>100000</v>
      </c>
      <c r="Y102" s="166"/>
      <c r="Z102" s="166">
        <f t="shared" si="58"/>
        <v>100000</v>
      </c>
      <c r="AA102" s="166">
        <f>-39517-10413</f>
        <v>-49930</v>
      </c>
      <c r="AB102" s="166">
        <f t="shared" si="59"/>
        <v>50070</v>
      </c>
      <c r="AC102" s="166"/>
      <c r="AD102" s="166">
        <f t="shared" si="60"/>
        <v>50070</v>
      </c>
    </row>
    <row r="103" spans="1:30" s="139" customFormat="1" ht="21" customHeight="1">
      <c r="A103" s="136"/>
      <c r="B103" s="137"/>
      <c r="C103" s="138"/>
      <c r="D103" s="151" t="s">
        <v>271</v>
      </c>
      <c r="E103" s="152">
        <v>1886380</v>
      </c>
      <c r="F103" s="152">
        <v>-600000</v>
      </c>
      <c r="G103" s="152"/>
      <c r="H103" s="166">
        <f t="shared" si="12"/>
        <v>1286380</v>
      </c>
      <c r="I103" s="166"/>
      <c r="J103" s="166">
        <f t="shared" si="62"/>
        <v>1286380</v>
      </c>
      <c r="K103" s="166"/>
      <c r="L103" s="166">
        <f t="shared" si="29"/>
        <v>1286380</v>
      </c>
      <c r="M103" s="166"/>
      <c r="N103" s="166">
        <f t="shared" si="40"/>
        <v>1286380</v>
      </c>
      <c r="O103" s="166"/>
      <c r="P103" s="166">
        <f t="shared" si="53"/>
        <v>1286380</v>
      </c>
      <c r="Q103" s="166"/>
      <c r="R103" s="166">
        <f t="shared" si="54"/>
        <v>1286380</v>
      </c>
      <c r="S103" s="166"/>
      <c r="T103" s="166">
        <f t="shared" si="55"/>
        <v>1286380</v>
      </c>
      <c r="U103" s="166"/>
      <c r="V103" s="166">
        <f t="shared" si="56"/>
        <v>1286380</v>
      </c>
      <c r="W103" s="166"/>
      <c r="X103" s="166">
        <f t="shared" si="57"/>
        <v>1286380</v>
      </c>
      <c r="Y103" s="166"/>
      <c r="Z103" s="166">
        <f t="shared" si="58"/>
        <v>1286380</v>
      </c>
      <c r="AA103" s="166"/>
      <c r="AB103" s="166">
        <f t="shared" si="59"/>
        <v>1286380</v>
      </c>
      <c r="AC103" s="166"/>
      <c r="AD103" s="166">
        <f t="shared" si="60"/>
        <v>1286380</v>
      </c>
    </row>
    <row r="104" spans="1:30" s="23" customFormat="1" ht="21" customHeight="1">
      <c r="A104" s="70"/>
      <c r="B104" s="70">
        <v>92604</v>
      </c>
      <c r="C104" s="70"/>
      <c r="D104" s="115" t="s">
        <v>195</v>
      </c>
      <c r="E104" s="116">
        <f aca="true" t="shared" si="63" ref="E104:G105">SUM(E105)</f>
        <v>400000</v>
      </c>
      <c r="F104" s="116">
        <f t="shared" si="63"/>
        <v>-250000</v>
      </c>
      <c r="G104" s="116">
        <f t="shared" si="63"/>
        <v>0</v>
      </c>
      <c r="H104" s="164">
        <f t="shared" si="12"/>
        <v>150000</v>
      </c>
      <c r="I104" s="164">
        <f>SUM(I105)</f>
        <v>0</v>
      </c>
      <c r="J104" s="164">
        <f t="shared" si="62"/>
        <v>150000</v>
      </c>
      <c r="K104" s="164">
        <f>SUM(K105)</f>
        <v>0</v>
      </c>
      <c r="L104" s="164">
        <f>SUM(J104:K104)</f>
        <v>150000</v>
      </c>
      <c r="M104" s="164">
        <f>SUM(M105)</f>
        <v>0</v>
      </c>
      <c r="N104" s="164">
        <f>SUM(L104:M104)</f>
        <v>150000</v>
      </c>
      <c r="O104" s="164">
        <f>SUM(O105)</f>
        <v>0</v>
      </c>
      <c r="P104" s="164">
        <f>SUM(N104:O104)</f>
        <v>150000</v>
      </c>
      <c r="Q104" s="164">
        <f>SUM(Q105)</f>
        <v>0</v>
      </c>
      <c r="R104" s="164">
        <f>SUM(P104:Q104)</f>
        <v>150000</v>
      </c>
      <c r="S104" s="164">
        <f>SUM(S105)</f>
        <v>0</v>
      </c>
      <c r="T104" s="164">
        <f>SUM(R104:S104)</f>
        <v>150000</v>
      </c>
      <c r="U104" s="164">
        <f>SUM(U105)</f>
        <v>0</v>
      </c>
      <c r="V104" s="164">
        <f>SUM(T104:U104)</f>
        <v>150000</v>
      </c>
      <c r="W104" s="164">
        <f>SUM(W105)</f>
        <v>0</v>
      </c>
      <c r="X104" s="164">
        <f>SUM(V104:W104)</f>
        <v>150000</v>
      </c>
      <c r="Y104" s="164">
        <f>SUM(Y105)</f>
        <v>0</v>
      </c>
      <c r="Z104" s="164">
        <f>SUM(X104:Y104)</f>
        <v>150000</v>
      </c>
      <c r="AA104" s="164">
        <f>SUM(AA105)</f>
        <v>-100000</v>
      </c>
      <c r="AB104" s="164">
        <f>SUM(Z104:AA104)</f>
        <v>50000</v>
      </c>
      <c r="AC104" s="164">
        <f>SUM(AC105)</f>
        <v>0</v>
      </c>
      <c r="AD104" s="164">
        <f>SUM(AB104:AC104)</f>
        <v>50000</v>
      </c>
    </row>
    <row r="105" spans="1:30" s="23" customFormat="1" ht="45">
      <c r="A105" s="70"/>
      <c r="B105" s="70"/>
      <c r="C105" s="70">
        <v>6010</v>
      </c>
      <c r="D105" s="12" t="s">
        <v>246</v>
      </c>
      <c r="E105" s="116">
        <f t="shared" si="63"/>
        <v>400000</v>
      </c>
      <c r="F105" s="116">
        <f t="shared" si="63"/>
        <v>-250000</v>
      </c>
      <c r="G105" s="116">
        <f t="shared" si="63"/>
        <v>0</v>
      </c>
      <c r="H105" s="164">
        <f t="shared" si="12"/>
        <v>150000</v>
      </c>
      <c r="I105" s="164">
        <f>SUM(I106)</f>
        <v>0</v>
      </c>
      <c r="J105" s="164">
        <f t="shared" si="62"/>
        <v>150000</v>
      </c>
      <c r="K105" s="164">
        <f>SUM(K106)</f>
        <v>0</v>
      </c>
      <c r="L105" s="164">
        <f>SUM(J105:K105)</f>
        <v>150000</v>
      </c>
      <c r="M105" s="164">
        <f>SUM(M106)</f>
        <v>0</v>
      </c>
      <c r="N105" s="164">
        <f>SUM(L105:M105)</f>
        <v>150000</v>
      </c>
      <c r="O105" s="164">
        <f>SUM(O106)</f>
        <v>0</v>
      </c>
      <c r="P105" s="164">
        <f>SUM(N105:O105)</f>
        <v>150000</v>
      </c>
      <c r="Q105" s="164">
        <f>SUM(Q106)</f>
        <v>0</v>
      </c>
      <c r="R105" s="164">
        <f>SUM(P105:Q105)</f>
        <v>150000</v>
      </c>
      <c r="S105" s="164">
        <f>SUM(S106)</f>
        <v>0</v>
      </c>
      <c r="T105" s="164">
        <f>SUM(R105:S105)</f>
        <v>150000</v>
      </c>
      <c r="U105" s="164">
        <f>SUM(U106)</f>
        <v>0</v>
      </c>
      <c r="V105" s="164">
        <f>SUM(T105:U105)</f>
        <v>150000</v>
      </c>
      <c r="W105" s="164">
        <f>SUM(W106)</f>
        <v>0</v>
      </c>
      <c r="X105" s="164">
        <f>SUM(V105:W105)</f>
        <v>150000</v>
      </c>
      <c r="Y105" s="164">
        <f>SUM(Y106)</f>
        <v>0</v>
      </c>
      <c r="Z105" s="164">
        <f>SUM(X105:Y105)</f>
        <v>150000</v>
      </c>
      <c r="AA105" s="164">
        <f>SUM(AA106)</f>
        <v>-100000</v>
      </c>
      <c r="AB105" s="164">
        <f>SUM(Z105:AA105)</f>
        <v>50000</v>
      </c>
      <c r="AC105" s="164">
        <f>SUM(AC106)</f>
        <v>0</v>
      </c>
      <c r="AD105" s="164">
        <f>SUM(AB105:AC105)</f>
        <v>50000</v>
      </c>
    </row>
    <row r="106" spans="1:30" s="139" customFormat="1" ht="21.75" customHeight="1">
      <c r="A106" s="156"/>
      <c r="B106" s="156"/>
      <c r="C106" s="156"/>
      <c r="D106" s="151" t="s">
        <v>275</v>
      </c>
      <c r="E106" s="153">
        <v>400000</v>
      </c>
      <c r="F106" s="153">
        <v>-250000</v>
      </c>
      <c r="G106" s="153"/>
      <c r="H106" s="166">
        <f t="shared" si="12"/>
        <v>150000</v>
      </c>
      <c r="I106" s="166"/>
      <c r="J106" s="166">
        <f t="shared" si="62"/>
        <v>150000</v>
      </c>
      <c r="K106" s="166"/>
      <c r="L106" s="166">
        <f>SUM(J106:K106)</f>
        <v>150000</v>
      </c>
      <c r="M106" s="166"/>
      <c r="N106" s="166">
        <f>SUM(L106:M106)</f>
        <v>150000</v>
      </c>
      <c r="O106" s="166"/>
      <c r="P106" s="166">
        <f>SUM(N106:O106)</f>
        <v>150000</v>
      </c>
      <c r="Q106" s="166"/>
      <c r="R106" s="166">
        <f>SUM(P106:Q106)</f>
        <v>150000</v>
      </c>
      <c r="S106" s="166"/>
      <c r="T106" s="166">
        <f>SUM(R106:S106)</f>
        <v>150000</v>
      </c>
      <c r="U106" s="166"/>
      <c r="V106" s="166">
        <f>SUM(T106:U106)</f>
        <v>150000</v>
      </c>
      <c r="W106" s="166"/>
      <c r="X106" s="166">
        <f>SUM(V106:W106)</f>
        <v>150000</v>
      </c>
      <c r="Y106" s="166"/>
      <c r="Z106" s="166">
        <f>SUM(X106:Y106)</f>
        <v>150000</v>
      </c>
      <c r="AA106" s="166">
        <v>-100000</v>
      </c>
      <c r="AB106" s="166">
        <f>SUM(Z106:AA106)</f>
        <v>50000</v>
      </c>
      <c r="AC106" s="166"/>
      <c r="AD106" s="166">
        <f>SUM(AB106:AC106)</f>
        <v>50000</v>
      </c>
    </row>
    <row r="107" spans="1:30" s="6" customFormat="1" ht="21" customHeight="1">
      <c r="A107" s="8"/>
      <c r="B107" s="8"/>
      <c r="C107" s="8"/>
      <c r="D107" s="110" t="s">
        <v>67</v>
      </c>
      <c r="E107" s="50">
        <f>SUM(E98,E84,E80,E63,E57,E44,E32,E11,E40,E36)</f>
        <v>10548980</v>
      </c>
      <c r="F107" s="50">
        <f>SUM(F98,F84,F80,F63,F57,F44,F32,F11,F40,F36)</f>
        <v>-2211184</v>
      </c>
      <c r="G107" s="50">
        <f>SUM(G98,G84,G80,G63,G57,G44,G32,G11,G40,G36)</f>
        <v>2685000</v>
      </c>
      <c r="H107" s="50">
        <f>SUM(H98,H84,H80,H63,H57,H44,H40,H36,H32,H11)</f>
        <v>11022796</v>
      </c>
      <c r="I107" s="50">
        <f>SUM(I98,I84,I80,I63,I57,I44,I40,I36,I32,I11)</f>
        <v>-326150</v>
      </c>
      <c r="J107" s="50">
        <f aca="true" t="shared" si="64" ref="J107:V107">SUM(J98,J84,J80,J63,J57,J44,J40,J36,J32,J11,J7)</f>
        <v>10696646</v>
      </c>
      <c r="K107" s="50">
        <f t="shared" si="64"/>
        <v>127220</v>
      </c>
      <c r="L107" s="50">
        <f t="shared" si="64"/>
        <v>10823866</v>
      </c>
      <c r="M107" s="50">
        <f t="shared" si="64"/>
        <v>63850</v>
      </c>
      <c r="N107" s="50">
        <f t="shared" si="64"/>
        <v>10887716</v>
      </c>
      <c r="O107" s="50">
        <f t="shared" si="64"/>
        <v>249053</v>
      </c>
      <c r="P107" s="50">
        <f t="shared" si="64"/>
        <v>11136769</v>
      </c>
      <c r="Q107" s="50">
        <f t="shared" si="64"/>
        <v>-151500</v>
      </c>
      <c r="R107" s="50">
        <f t="shared" si="64"/>
        <v>10985269</v>
      </c>
      <c r="S107" s="50">
        <f t="shared" si="64"/>
        <v>8000</v>
      </c>
      <c r="T107" s="50">
        <f t="shared" si="64"/>
        <v>10993269</v>
      </c>
      <c r="U107" s="50">
        <f t="shared" si="64"/>
        <v>-297076</v>
      </c>
      <c r="V107" s="50">
        <f t="shared" si="64"/>
        <v>10696193</v>
      </c>
      <c r="W107" s="50">
        <f aca="true" t="shared" si="65" ref="W107:AB107">SUM(W98,W84,W80,W63,W57,W44,W40,W36,W32,W11,W7)</f>
        <v>-217241</v>
      </c>
      <c r="X107" s="50">
        <f t="shared" si="65"/>
        <v>10478952</v>
      </c>
      <c r="Y107" s="50">
        <f t="shared" si="65"/>
        <v>0</v>
      </c>
      <c r="Z107" s="50">
        <f t="shared" si="65"/>
        <v>10478952</v>
      </c>
      <c r="AA107" s="50">
        <f t="shared" si="65"/>
        <v>-790470</v>
      </c>
      <c r="AB107" s="50">
        <f t="shared" si="65"/>
        <v>9688482</v>
      </c>
      <c r="AC107" s="50">
        <f>SUM(AC98,AC84,AC80,AC63,AC57,AC44,AC40,AC36,AC32,AC11,AC7)</f>
        <v>0</v>
      </c>
      <c r="AD107" s="50">
        <f>SUM(AD98,AD84,AD80,AD63,AD57,AD44,AD40,AD36,AD32,AD11,AD7)</f>
        <v>9688482</v>
      </c>
    </row>
    <row r="109" ht="12.75">
      <c r="F109" s="48"/>
    </row>
    <row r="110" spans="5:30" ht="12.75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2" spans="9:29" ht="12.75">
      <c r="I112" s="48">
        <v>-897000</v>
      </c>
      <c r="J112" t="s">
        <v>340</v>
      </c>
      <c r="K112" s="48"/>
      <c r="M112" s="48"/>
      <c r="O112" s="48"/>
      <c r="Q112" s="48"/>
      <c r="S112" s="48"/>
      <c r="U112" s="48"/>
      <c r="W112" s="48"/>
      <c r="Y112" s="48"/>
      <c r="AA112" s="48"/>
      <c r="AC112" s="48"/>
    </row>
    <row r="113" spans="9:29" ht="12.75">
      <c r="I113" s="48">
        <v>63850</v>
      </c>
      <c r="J113" t="s">
        <v>341</v>
      </c>
      <c r="K113" s="48"/>
      <c r="M113" s="48"/>
      <c r="O113" s="48"/>
      <c r="Q113" s="48"/>
      <c r="S113" s="48"/>
      <c r="U113" s="48"/>
      <c r="W113" s="48"/>
      <c r="Y113" s="48"/>
      <c r="AA113" s="48"/>
      <c r="AC113" s="48"/>
    </row>
    <row r="114" spans="9:29" ht="12.75">
      <c r="I114" s="48">
        <v>90000</v>
      </c>
      <c r="J114" t="s">
        <v>344</v>
      </c>
      <c r="K114" s="48"/>
      <c r="M114" s="48"/>
      <c r="O114" s="48"/>
      <c r="Q114" s="48"/>
      <c r="S114" s="48"/>
      <c r="U114" s="48"/>
      <c r="W114" s="48"/>
      <c r="Y114" s="48"/>
      <c r="AA114" s="48"/>
      <c r="AC114" s="48"/>
    </row>
    <row r="115" spans="9:29" ht="12.75">
      <c r="I115" s="48">
        <v>15000</v>
      </c>
      <c r="J115" t="s">
        <v>343</v>
      </c>
      <c r="K115" s="48"/>
      <c r="M115" s="48"/>
      <c r="O115" s="48"/>
      <c r="Q115" s="48"/>
      <c r="S115" s="48"/>
      <c r="U115" s="48"/>
      <c r="W115" s="48"/>
      <c r="Y115" s="48"/>
      <c r="AA115" s="48"/>
      <c r="AC115" s="48"/>
    </row>
    <row r="116" spans="9:29" ht="12.75">
      <c r="I116" s="186">
        <f>SUM(I112:I115)</f>
        <v>-728150</v>
      </c>
      <c r="K116" s="186"/>
      <c r="M116" s="186"/>
      <c r="O116" s="186"/>
      <c r="Q116" s="186"/>
      <c r="S116" s="186"/>
      <c r="U116" s="186"/>
      <c r="W116" s="186"/>
      <c r="Y116" s="186"/>
      <c r="AA116" s="186"/>
      <c r="AC116" s="186"/>
    </row>
    <row r="120" spans="5:8" ht="12.75">
      <c r="E120" t="s">
        <v>205</v>
      </c>
      <c r="F120" t="s">
        <v>205</v>
      </c>
      <c r="G120" t="s">
        <v>205</v>
      </c>
      <c r="H120" t="s">
        <v>205</v>
      </c>
    </row>
    <row r="121" spans="5:8" ht="12.75">
      <c r="E121" t="s">
        <v>206</v>
      </c>
      <c r="F121" t="s">
        <v>206</v>
      </c>
      <c r="G121" t="s">
        <v>206</v>
      </c>
      <c r="H121" t="s">
        <v>206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E98"/>
  <sheetViews>
    <sheetView zoomScalePageLayoutView="0" workbookViewId="0" topLeftCell="A73">
      <selection activeCell="A82" sqref="A82:IV91"/>
    </sheetView>
  </sheetViews>
  <sheetFormatPr defaultColWidth="9.00390625" defaultRowHeight="12.75"/>
  <cols>
    <col min="1" max="1" width="5.25390625" style="6" customWidth="1"/>
    <col min="2" max="2" width="7.75390625" style="6" customWidth="1"/>
    <col min="3" max="3" width="5.75390625" style="6" customWidth="1"/>
    <col min="4" max="4" width="29.375" style="6" customWidth="1"/>
    <col min="5" max="5" width="40.25390625" style="0" hidden="1" customWidth="1"/>
    <col min="6" max="6" width="6.75390625" style="0" hidden="1" customWidth="1"/>
    <col min="7" max="7" width="43.375" style="0" hidden="1" customWidth="1"/>
    <col min="8" max="8" width="7.875" style="0" hidden="1" customWidth="1"/>
    <col min="9" max="9" width="13.75390625" style="0" hidden="1" customWidth="1"/>
    <col min="10" max="10" width="15.875" style="0" hidden="1" customWidth="1"/>
    <col min="11" max="11" width="13.125" style="0" hidden="1" customWidth="1"/>
    <col min="12" max="12" width="14.00390625" style="0" hidden="1" customWidth="1"/>
    <col min="13" max="13" width="13.875" style="0" hidden="1" customWidth="1"/>
    <col min="14" max="14" width="8.875" style="0" hidden="1" customWidth="1"/>
    <col min="15" max="15" width="13.875" style="0" hidden="1" customWidth="1"/>
    <col min="16" max="16" width="14.00390625" style="0" hidden="1" customWidth="1"/>
    <col min="17" max="17" width="16.125" style="0" hidden="1" customWidth="1"/>
    <col min="18" max="18" width="14.00390625" style="0" hidden="1" customWidth="1"/>
    <col min="19" max="19" width="13.875" style="0" hidden="1" customWidth="1"/>
    <col min="20" max="20" width="14.00390625" style="0" hidden="1" customWidth="1"/>
    <col min="21" max="21" width="13.875" style="0" hidden="1" customWidth="1"/>
    <col min="22" max="22" width="14.00390625" style="0" hidden="1" customWidth="1"/>
    <col min="23" max="23" width="13.875" style="0" hidden="1" customWidth="1"/>
    <col min="24" max="24" width="14.00390625" style="0" hidden="1" customWidth="1"/>
    <col min="25" max="25" width="0.12890625" style="0" hidden="1" customWidth="1"/>
    <col min="26" max="26" width="14.00390625" style="0" hidden="1" customWidth="1"/>
    <col min="27" max="27" width="13.875" style="0" customWidth="1"/>
    <col min="28" max="28" width="14.00390625" style="0" customWidth="1"/>
    <col min="29" max="29" width="13.875" style="0" customWidth="1"/>
  </cols>
  <sheetData>
    <row r="1" spans="5:29" ht="12.75">
      <c r="E1" s="54" t="s">
        <v>321</v>
      </c>
      <c r="F1" s="54"/>
      <c r="G1" s="54" t="s">
        <v>347</v>
      </c>
      <c r="H1" s="54"/>
      <c r="I1" s="54" t="s">
        <v>382</v>
      </c>
      <c r="J1" s="54"/>
      <c r="K1" s="54" t="s">
        <v>390</v>
      </c>
      <c r="L1" s="54"/>
      <c r="M1" s="54" t="s">
        <v>398</v>
      </c>
      <c r="N1" s="54"/>
      <c r="O1" s="54" t="s">
        <v>409</v>
      </c>
      <c r="P1" s="54"/>
      <c r="Q1" s="54" t="s">
        <v>416</v>
      </c>
      <c r="R1" s="54"/>
      <c r="S1" s="54" t="s">
        <v>435</v>
      </c>
      <c r="T1" s="54"/>
      <c r="U1" s="54" t="s">
        <v>446</v>
      </c>
      <c r="V1" s="54"/>
      <c r="W1" s="54" t="s">
        <v>457</v>
      </c>
      <c r="X1" s="54"/>
      <c r="Y1" s="54" t="s">
        <v>485</v>
      </c>
      <c r="Z1" s="54"/>
      <c r="AA1" s="54" t="s">
        <v>496</v>
      </c>
      <c r="AB1" s="54"/>
      <c r="AC1" s="54"/>
    </row>
    <row r="2" spans="4:29" ht="12.75">
      <c r="D2" s="6" t="s">
        <v>207</v>
      </c>
      <c r="E2" s="54" t="s">
        <v>315</v>
      </c>
      <c r="F2" s="54"/>
      <c r="G2" s="54" t="s">
        <v>348</v>
      </c>
      <c r="H2" s="54"/>
      <c r="I2" s="54" t="s">
        <v>378</v>
      </c>
      <c r="J2" s="54"/>
      <c r="K2" s="54" t="s">
        <v>388</v>
      </c>
      <c r="L2" s="54"/>
      <c r="M2" s="54" t="s">
        <v>397</v>
      </c>
      <c r="N2" s="54"/>
      <c r="O2" s="54" t="s">
        <v>404</v>
      </c>
      <c r="P2" s="54"/>
      <c r="Q2" s="54" t="s">
        <v>413</v>
      </c>
      <c r="R2" s="54"/>
      <c r="S2" s="54" t="s">
        <v>421</v>
      </c>
      <c r="T2" s="54"/>
      <c r="U2" s="54" t="s">
        <v>443</v>
      </c>
      <c r="V2" s="54"/>
      <c r="W2" s="54" t="s">
        <v>452</v>
      </c>
      <c r="X2" s="54"/>
      <c r="Y2" s="54" t="s">
        <v>482</v>
      </c>
      <c r="Z2" s="54"/>
      <c r="AA2" s="54" t="s">
        <v>493</v>
      </c>
      <c r="AB2" s="54"/>
      <c r="AC2" s="54"/>
    </row>
    <row r="3" spans="4:29" ht="12.75">
      <c r="D3" s="6" t="s">
        <v>205</v>
      </c>
      <c r="E3" s="54" t="s">
        <v>322</v>
      </c>
      <c r="F3" s="54"/>
      <c r="G3" s="54" t="s">
        <v>321</v>
      </c>
      <c r="H3" s="54"/>
      <c r="I3" s="54" t="s">
        <v>347</v>
      </c>
      <c r="J3" s="54"/>
      <c r="K3" s="54" t="s">
        <v>382</v>
      </c>
      <c r="L3" s="54"/>
      <c r="M3" s="54" t="s">
        <v>390</v>
      </c>
      <c r="N3" s="54"/>
      <c r="O3" s="54" t="s">
        <v>403</v>
      </c>
      <c r="P3" s="54"/>
      <c r="Q3" s="54" t="s">
        <v>409</v>
      </c>
      <c r="R3" s="54"/>
      <c r="S3" s="54" t="s">
        <v>416</v>
      </c>
      <c r="T3" s="54"/>
      <c r="U3" s="54" t="s">
        <v>435</v>
      </c>
      <c r="V3" s="54"/>
      <c r="W3" s="54" t="s">
        <v>446</v>
      </c>
      <c r="X3" s="54"/>
      <c r="Y3" s="54" t="s">
        <v>457</v>
      </c>
      <c r="Z3" s="54"/>
      <c r="AA3" s="54" t="s">
        <v>485</v>
      </c>
      <c r="AB3" s="54"/>
      <c r="AC3" s="54"/>
    </row>
    <row r="4" spans="5:29" ht="12.75">
      <c r="E4" s="54" t="s">
        <v>314</v>
      </c>
      <c r="F4" s="54"/>
      <c r="G4" s="54" t="s">
        <v>326</v>
      </c>
      <c r="H4" s="54"/>
      <c r="I4" s="54" t="s">
        <v>357</v>
      </c>
      <c r="J4" s="54"/>
      <c r="K4" s="54" t="s">
        <v>384</v>
      </c>
      <c r="L4" s="54"/>
      <c r="M4" s="54" t="s">
        <v>395</v>
      </c>
      <c r="N4" s="54"/>
      <c r="O4" s="54" t="s">
        <v>399</v>
      </c>
      <c r="P4" s="54"/>
      <c r="Q4" s="54" t="s">
        <v>411</v>
      </c>
      <c r="R4" s="54"/>
      <c r="S4" s="54" t="s">
        <v>417</v>
      </c>
      <c r="T4" s="54"/>
      <c r="U4" s="54" t="s">
        <v>437</v>
      </c>
      <c r="V4" s="54"/>
      <c r="W4" s="54" t="s">
        <v>449</v>
      </c>
      <c r="X4" s="54"/>
      <c r="Y4" s="54" t="s">
        <v>458</v>
      </c>
      <c r="Z4" s="54"/>
      <c r="AA4" s="54" t="s">
        <v>491</v>
      </c>
      <c r="AB4" s="54"/>
      <c r="AC4" s="54"/>
    </row>
    <row r="5" spans="1:29" ht="36" customHeight="1">
      <c r="A5" s="263" t="s">
        <v>280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</row>
    <row r="6" spans="1:29" s="6" customFormat="1" ht="24.75" customHeight="1">
      <c r="A6" s="10" t="s">
        <v>0</v>
      </c>
      <c r="B6" s="10" t="s">
        <v>1</v>
      </c>
      <c r="C6" s="10" t="s">
        <v>2</v>
      </c>
      <c r="D6" s="16" t="s">
        <v>3</v>
      </c>
      <c r="E6" s="101" t="s">
        <v>323</v>
      </c>
      <c r="F6" s="101" t="s">
        <v>302</v>
      </c>
      <c r="G6" s="101" t="s">
        <v>325</v>
      </c>
      <c r="H6" s="101" t="s">
        <v>302</v>
      </c>
      <c r="I6" s="101" t="s">
        <v>142</v>
      </c>
      <c r="J6" s="101" t="s">
        <v>302</v>
      </c>
      <c r="K6" s="101" t="s">
        <v>142</v>
      </c>
      <c r="L6" s="101" t="s">
        <v>302</v>
      </c>
      <c r="M6" s="101" t="s">
        <v>142</v>
      </c>
      <c r="N6" s="101" t="s">
        <v>302</v>
      </c>
      <c r="O6" s="101" t="s">
        <v>142</v>
      </c>
      <c r="P6" s="101" t="s">
        <v>302</v>
      </c>
      <c r="Q6" s="101" t="s">
        <v>142</v>
      </c>
      <c r="R6" s="101" t="s">
        <v>302</v>
      </c>
      <c r="S6" s="101" t="s">
        <v>142</v>
      </c>
      <c r="T6" s="101" t="s">
        <v>302</v>
      </c>
      <c r="U6" s="101" t="s">
        <v>142</v>
      </c>
      <c r="V6" s="101" t="s">
        <v>302</v>
      </c>
      <c r="W6" s="101" t="s">
        <v>142</v>
      </c>
      <c r="X6" s="101" t="s">
        <v>302</v>
      </c>
      <c r="Y6" s="101" t="s">
        <v>142</v>
      </c>
      <c r="Z6" s="101" t="s">
        <v>302</v>
      </c>
      <c r="AA6" s="101" t="s">
        <v>142</v>
      </c>
      <c r="AB6" s="101" t="s">
        <v>302</v>
      </c>
      <c r="AC6" s="101" t="s">
        <v>313</v>
      </c>
    </row>
    <row r="7" spans="1:29" s="6" customFormat="1" ht="24.75" customHeight="1">
      <c r="A7" s="30" t="s">
        <v>4</v>
      </c>
      <c r="B7" s="16"/>
      <c r="C7" s="10"/>
      <c r="D7" s="29" t="s">
        <v>5</v>
      </c>
      <c r="E7" s="101"/>
      <c r="F7" s="101"/>
      <c r="G7" s="101"/>
      <c r="H7" s="101"/>
      <c r="I7" s="101"/>
      <c r="J7" s="101"/>
      <c r="K7" s="217">
        <f aca="true" t="shared" si="0" ref="K7:AC7">SUM(K8)</f>
        <v>0</v>
      </c>
      <c r="L7" s="206">
        <f t="shared" si="0"/>
        <v>271797</v>
      </c>
      <c r="M7" s="206">
        <f t="shared" si="0"/>
        <v>271797</v>
      </c>
      <c r="N7" s="206">
        <f t="shared" si="0"/>
        <v>0</v>
      </c>
      <c r="O7" s="206">
        <f t="shared" si="0"/>
        <v>271797</v>
      </c>
      <c r="P7" s="206">
        <f t="shared" si="0"/>
        <v>0</v>
      </c>
      <c r="Q7" s="206">
        <f t="shared" si="0"/>
        <v>271797</v>
      </c>
      <c r="R7" s="206">
        <f t="shared" si="0"/>
        <v>0</v>
      </c>
      <c r="S7" s="206">
        <f t="shared" si="0"/>
        <v>271797</v>
      </c>
      <c r="T7" s="206">
        <f t="shared" si="0"/>
        <v>0</v>
      </c>
      <c r="U7" s="206">
        <f t="shared" si="0"/>
        <v>271797</v>
      </c>
      <c r="V7" s="206">
        <f t="shared" si="0"/>
        <v>0</v>
      </c>
      <c r="W7" s="206">
        <f t="shared" si="0"/>
        <v>271797</v>
      </c>
      <c r="X7" s="206">
        <f t="shared" si="0"/>
        <v>0</v>
      </c>
      <c r="Y7" s="206">
        <f t="shared" si="0"/>
        <v>271797</v>
      </c>
      <c r="Z7" s="206">
        <f t="shared" si="0"/>
        <v>0</v>
      </c>
      <c r="AA7" s="206">
        <f t="shared" si="0"/>
        <v>271797</v>
      </c>
      <c r="AB7" s="206">
        <f t="shared" si="0"/>
        <v>297577</v>
      </c>
      <c r="AC7" s="206">
        <f t="shared" si="0"/>
        <v>569374</v>
      </c>
    </row>
    <row r="8" spans="1:29" s="23" customFormat="1" ht="24.75" customHeight="1">
      <c r="A8" s="225"/>
      <c r="B8" s="81" t="s">
        <v>227</v>
      </c>
      <c r="C8" s="67"/>
      <c r="D8" s="37" t="s">
        <v>6</v>
      </c>
      <c r="E8" s="226"/>
      <c r="F8" s="226"/>
      <c r="G8" s="226"/>
      <c r="H8" s="226"/>
      <c r="I8" s="226"/>
      <c r="J8" s="226"/>
      <c r="K8" s="120">
        <f aca="true" t="shared" si="1" ref="K8:Q8">SUM(K9:K16)</f>
        <v>0</v>
      </c>
      <c r="L8" s="120">
        <f t="shared" si="1"/>
        <v>271797</v>
      </c>
      <c r="M8" s="120">
        <f t="shared" si="1"/>
        <v>271797</v>
      </c>
      <c r="N8" s="120">
        <f t="shared" si="1"/>
        <v>0</v>
      </c>
      <c r="O8" s="120">
        <f t="shared" si="1"/>
        <v>271797</v>
      </c>
      <c r="P8" s="120">
        <f t="shared" si="1"/>
        <v>0</v>
      </c>
      <c r="Q8" s="120">
        <f t="shared" si="1"/>
        <v>271797</v>
      </c>
      <c r="R8" s="120">
        <f aca="true" t="shared" si="2" ref="R8:W8">SUM(R9:R16)</f>
        <v>0</v>
      </c>
      <c r="S8" s="120">
        <f t="shared" si="2"/>
        <v>271797</v>
      </c>
      <c r="T8" s="120">
        <f t="shared" si="2"/>
        <v>0</v>
      </c>
      <c r="U8" s="120">
        <f t="shared" si="2"/>
        <v>271797</v>
      </c>
      <c r="V8" s="120">
        <f t="shared" si="2"/>
        <v>0</v>
      </c>
      <c r="W8" s="120">
        <f t="shared" si="2"/>
        <v>271797</v>
      </c>
      <c r="X8" s="120">
        <f aca="true" t="shared" si="3" ref="X8:AC8">SUM(X9:X16)</f>
        <v>0</v>
      </c>
      <c r="Y8" s="120">
        <f t="shared" si="3"/>
        <v>271797</v>
      </c>
      <c r="Z8" s="120">
        <f t="shared" si="3"/>
        <v>0</v>
      </c>
      <c r="AA8" s="120">
        <f t="shared" si="3"/>
        <v>271797</v>
      </c>
      <c r="AB8" s="120">
        <f t="shared" si="3"/>
        <v>297577</v>
      </c>
      <c r="AC8" s="120">
        <f t="shared" si="3"/>
        <v>569374</v>
      </c>
    </row>
    <row r="9" spans="1:29" s="23" customFormat="1" ht="24.75" customHeight="1">
      <c r="A9" s="225"/>
      <c r="B9" s="81"/>
      <c r="C9" s="67">
        <v>4010</v>
      </c>
      <c r="D9" s="37" t="s">
        <v>83</v>
      </c>
      <c r="E9" s="226"/>
      <c r="F9" s="226"/>
      <c r="G9" s="226"/>
      <c r="H9" s="226"/>
      <c r="I9" s="226"/>
      <c r="J9" s="226"/>
      <c r="K9" s="120">
        <v>0</v>
      </c>
      <c r="L9" s="78">
        <v>3378</v>
      </c>
      <c r="M9" s="120">
        <f>SUM(K9:L9)</f>
        <v>3378</v>
      </c>
      <c r="N9" s="78"/>
      <c r="O9" s="120">
        <f>SUM(M9:N9)</f>
        <v>3378</v>
      </c>
      <c r="P9" s="78"/>
      <c r="Q9" s="120">
        <f>SUM(O9:P9)</f>
        <v>3378</v>
      </c>
      <c r="R9" s="78"/>
      <c r="S9" s="120">
        <f>SUM(Q9:R9)</f>
        <v>3378</v>
      </c>
      <c r="T9" s="78"/>
      <c r="U9" s="120">
        <f>SUM(S9:T9)</f>
        <v>3378</v>
      </c>
      <c r="V9" s="78"/>
      <c r="W9" s="120">
        <f>SUM(U9:V9)</f>
        <v>3378</v>
      </c>
      <c r="X9" s="78"/>
      <c r="Y9" s="120">
        <f>SUM(W9:X9)</f>
        <v>3378</v>
      </c>
      <c r="Z9" s="78"/>
      <c r="AA9" s="120">
        <f>SUM(Y9:Z9)</f>
        <v>3378</v>
      </c>
      <c r="AB9" s="78">
        <v>3758</v>
      </c>
      <c r="AC9" s="120">
        <f>SUM(AA9:AB9)</f>
        <v>7136</v>
      </c>
    </row>
    <row r="10" spans="1:29" s="23" customFormat="1" ht="24.75" customHeight="1">
      <c r="A10" s="225"/>
      <c r="B10" s="81"/>
      <c r="C10" s="67">
        <v>4110</v>
      </c>
      <c r="D10" s="37" t="s">
        <v>85</v>
      </c>
      <c r="E10" s="226"/>
      <c r="F10" s="226"/>
      <c r="G10" s="226"/>
      <c r="H10" s="226"/>
      <c r="I10" s="226"/>
      <c r="J10" s="226"/>
      <c r="K10" s="120">
        <v>0</v>
      </c>
      <c r="L10" s="78">
        <v>513</v>
      </c>
      <c r="M10" s="120">
        <f aca="true" t="shared" si="4" ref="M10:M16">SUM(K10:L10)</f>
        <v>513</v>
      </c>
      <c r="N10" s="78"/>
      <c r="O10" s="120">
        <f aca="true" t="shared" si="5" ref="O10:O16">SUM(M10:N10)</f>
        <v>513</v>
      </c>
      <c r="P10" s="78"/>
      <c r="Q10" s="120">
        <f aca="true" t="shared" si="6" ref="Q10:Q16">SUM(O10:P10)</f>
        <v>513</v>
      </c>
      <c r="R10" s="78"/>
      <c r="S10" s="120">
        <f aca="true" t="shared" si="7" ref="S10:S16">SUM(Q10:R10)</f>
        <v>513</v>
      </c>
      <c r="T10" s="78"/>
      <c r="U10" s="120">
        <f aca="true" t="shared" si="8" ref="U10:U16">SUM(S10:T10)</f>
        <v>513</v>
      </c>
      <c r="V10" s="78"/>
      <c r="W10" s="120">
        <f aca="true" t="shared" si="9" ref="W10:W16">SUM(U10:V10)</f>
        <v>513</v>
      </c>
      <c r="X10" s="78"/>
      <c r="Y10" s="120">
        <f aca="true" t="shared" si="10" ref="Y10:Y16">SUM(W10:X10)</f>
        <v>513</v>
      </c>
      <c r="Z10" s="78"/>
      <c r="AA10" s="120">
        <f aca="true" t="shared" si="11" ref="AA10:AA16">SUM(Y10:Z10)</f>
        <v>513</v>
      </c>
      <c r="AB10" s="78">
        <v>572</v>
      </c>
      <c r="AC10" s="120">
        <f aca="true" t="shared" si="12" ref="AC10:AC16">SUM(AA10:AB10)</f>
        <v>1085</v>
      </c>
    </row>
    <row r="11" spans="1:29" s="23" customFormat="1" ht="24.75" customHeight="1">
      <c r="A11" s="225"/>
      <c r="B11" s="81"/>
      <c r="C11" s="67">
        <v>4120</v>
      </c>
      <c r="D11" s="37" t="s">
        <v>86</v>
      </c>
      <c r="E11" s="226"/>
      <c r="F11" s="226"/>
      <c r="G11" s="226"/>
      <c r="H11" s="226"/>
      <c r="I11" s="226"/>
      <c r="J11" s="226"/>
      <c r="K11" s="120">
        <v>0</v>
      </c>
      <c r="L11" s="78">
        <v>82</v>
      </c>
      <c r="M11" s="120">
        <f t="shared" si="4"/>
        <v>82</v>
      </c>
      <c r="N11" s="78"/>
      <c r="O11" s="120">
        <f t="shared" si="5"/>
        <v>82</v>
      </c>
      <c r="P11" s="78"/>
      <c r="Q11" s="120">
        <f t="shared" si="6"/>
        <v>82</v>
      </c>
      <c r="R11" s="78"/>
      <c r="S11" s="120">
        <f t="shared" si="7"/>
        <v>82</v>
      </c>
      <c r="T11" s="78"/>
      <c r="U11" s="120">
        <f t="shared" si="8"/>
        <v>82</v>
      </c>
      <c r="V11" s="78"/>
      <c r="W11" s="120">
        <f t="shared" si="9"/>
        <v>82</v>
      </c>
      <c r="X11" s="78"/>
      <c r="Y11" s="120">
        <f t="shared" si="10"/>
        <v>82</v>
      </c>
      <c r="Z11" s="78"/>
      <c r="AA11" s="120">
        <f t="shared" si="11"/>
        <v>82</v>
      </c>
      <c r="AB11" s="78">
        <v>93</v>
      </c>
      <c r="AC11" s="120">
        <f t="shared" si="12"/>
        <v>175</v>
      </c>
    </row>
    <row r="12" spans="1:29" s="23" customFormat="1" ht="24.75" customHeight="1">
      <c r="A12" s="225"/>
      <c r="B12" s="81"/>
      <c r="C12" s="67">
        <v>4210</v>
      </c>
      <c r="D12" s="37" t="s">
        <v>71</v>
      </c>
      <c r="E12" s="226"/>
      <c r="F12" s="226"/>
      <c r="G12" s="226"/>
      <c r="H12" s="226"/>
      <c r="I12" s="226"/>
      <c r="J12" s="226"/>
      <c r="K12" s="120">
        <v>0</v>
      </c>
      <c r="L12" s="78">
        <v>251</v>
      </c>
      <c r="M12" s="120">
        <f t="shared" si="4"/>
        <v>251</v>
      </c>
      <c r="N12" s="78"/>
      <c r="O12" s="120">
        <f t="shared" si="5"/>
        <v>251</v>
      </c>
      <c r="P12" s="78"/>
      <c r="Q12" s="120">
        <f t="shared" si="6"/>
        <v>251</v>
      </c>
      <c r="R12" s="78"/>
      <c r="S12" s="120">
        <f t="shared" si="7"/>
        <v>251</v>
      </c>
      <c r="T12" s="78"/>
      <c r="U12" s="120">
        <f t="shared" si="8"/>
        <v>251</v>
      </c>
      <c r="V12" s="78"/>
      <c r="W12" s="120">
        <f t="shared" si="9"/>
        <v>251</v>
      </c>
      <c r="X12" s="78"/>
      <c r="Y12" s="120">
        <f t="shared" si="10"/>
        <v>251</v>
      </c>
      <c r="Z12" s="78"/>
      <c r="AA12" s="120">
        <f t="shared" si="11"/>
        <v>251</v>
      </c>
      <c r="AB12" s="78">
        <v>36</v>
      </c>
      <c r="AC12" s="120">
        <f t="shared" si="12"/>
        <v>287</v>
      </c>
    </row>
    <row r="13" spans="1:29" s="23" customFormat="1" ht="24.75" customHeight="1">
      <c r="A13" s="225"/>
      <c r="B13" s="81"/>
      <c r="C13" s="67">
        <v>4300</v>
      </c>
      <c r="D13" s="37" t="s">
        <v>78</v>
      </c>
      <c r="E13" s="226"/>
      <c r="F13" s="226"/>
      <c r="G13" s="226"/>
      <c r="H13" s="226"/>
      <c r="I13" s="226"/>
      <c r="J13" s="226"/>
      <c r="K13" s="120">
        <v>0</v>
      </c>
      <c r="L13" s="78">
        <v>822</v>
      </c>
      <c r="M13" s="120">
        <f t="shared" si="4"/>
        <v>822</v>
      </c>
      <c r="N13" s="78"/>
      <c r="O13" s="120">
        <f t="shared" si="5"/>
        <v>822</v>
      </c>
      <c r="P13" s="78"/>
      <c r="Q13" s="120">
        <f t="shared" si="6"/>
        <v>822</v>
      </c>
      <c r="R13" s="78"/>
      <c r="S13" s="120">
        <f t="shared" si="7"/>
        <v>822</v>
      </c>
      <c r="T13" s="78"/>
      <c r="U13" s="120">
        <f t="shared" si="8"/>
        <v>822</v>
      </c>
      <c r="V13" s="78"/>
      <c r="W13" s="120">
        <f t="shared" si="9"/>
        <v>822</v>
      </c>
      <c r="X13" s="78"/>
      <c r="Y13" s="120">
        <f t="shared" si="10"/>
        <v>822</v>
      </c>
      <c r="Z13" s="78"/>
      <c r="AA13" s="120">
        <f t="shared" si="11"/>
        <v>822</v>
      </c>
      <c r="AB13" s="78">
        <v>1094</v>
      </c>
      <c r="AC13" s="120">
        <f t="shared" si="12"/>
        <v>1916</v>
      </c>
    </row>
    <row r="14" spans="1:29" s="23" customFormat="1" ht="24.75" customHeight="1">
      <c r="A14" s="225"/>
      <c r="B14" s="81"/>
      <c r="C14" s="67">
        <v>4430</v>
      </c>
      <c r="D14" s="37" t="s">
        <v>93</v>
      </c>
      <c r="E14" s="226"/>
      <c r="F14" s="226"/>
      <c r="G14" s="226"/>
      <c r="H14" s="226"/>
      <c r="I14" s="226"/>
      <c r="J14" s="226"/>
      <c r="K14" s="120">
        <v>0</v>
      </c>
      <c r="L14" s="78">
        <v>266467</v>
      </c>
      <c r="M14" s="120">
        <f t="shared" si="4"/>
        <v>266467</v>
      </c>
      <c r="N14" s="78"/>
      <c r="O14" s="120">
        <f t="shared" si="5"/>
        <v>266467</v>
      </c>
      <c r="P14" s="78"/>
      <c r="Q14" s="120">
        <f t="shared" si="6"/>
        <v>266467</v>
      </c>
      <c r="R14" s="78"/>
      <c r="S14" s="120">
        <f t="shared" si="7"/>
        <v>266467</v>
      </c>
      <c r="T14" s="78"/>
      <c r="U14" s="120">
        <f t="shared" si="8"/>
        <v>266467</v>
      </c>
      <c r="V14" s="78"/>
      <c r="W14" s="120">
        <f t="shared" si="9"/>
        <v>266467</v>
      </c>
      <c r="X14" s="78"/>
      <c r="Y14" s="120">
        <f t="shared" si="10"/>
        <v>266467</v>
      </c>
      <c r="Z14" s="78"/>
      <c r="AA14" s="120">
        <f t="shared" si="11"/>
        <v>266467</v>
      </c>
      <c r="AB14" s="78">
        <v>291742</v>
      </c>
      <c r="AC14" s="120">
        <f t="shared" si="12"/>
        <v>558209</v>
      </c>
    </row>
    <row r="15" spans="1:29" s="23" customFormat="1" ht="24.75" customHeight="1">
      <c r="A15" s="225"/>
      <c r="B15" s="81"/>
      <c r="C15" s="67">
        <v>4740</v>
      </c>
      <c r="D15" s="37" t="s">
        <v>249</v>
      </c>
      <c r="E15" s="226"/>
      <c r="F15" s="226"/>
      <c r="G15" s="226"/>
      <c r="H15" s="226"/>
      <c r="I15" s="226"/>
      <c r="J15" s="226"/>
      <c r="K15" s="120">
        <v>0</v>
      </c>
      <c r="L15" s="78">
        <v>25</v>
      </c>
      <c r="M15" s="120">
        <f t="shared" si="4"/>
        <v>25</v>
      </c>
      <c r="N15" s="78"/>
      <c r="O15" s="120">
        <f t="shared" si="5"/>
        <v>25</v>
      </c>
      <c r="P15" s="78"/>
      <c r="Q15" s="120">
        <f t="shared" si="6"/>
        <v>25</v>
      </c>
      <c r="R15" s="78"/>
      <c r="S15" s="120">
        <f t="shared" si="7"/>
        <v>25</v>
      </c>
      <c r="T15" s="78"/>
      <c r="U15" s="120">
        <f t="shared" si="8"/>
        <v>25</v>
      </c>
      <c r="V15" s="78"/>
      <c r="W15" s="120">
        <f t="shared" si="9"/>
        <v>25</v>
      </c>
      <c r="X15" s="78"/>
      <c r="Y15" s="120">
        <f t="shared" si="10"/>
        <v>25</v>
      </c>
      <c r="Z15" s="78"/>
      <c r="AA15" s="120">
        <f t="shared" si="11"/>
        <v>25</v>
      </c>
      <c r="AB15" s="78">
        <v>25</v>
      </c>
      <c r="AC15" s="120">
        <f t="shared" si="12"/>
        <v>50</v>
      </c>
    </row>
    <row r="16" spans="1:29" s="23" customFormat="1" ht="24" customHeight="1">
      <c r="A16" s="225"/>
      <c r="B16" s="81"/>
      <c r="C16" s="67">
        <v>4750</v>
      </c>
      <c r="D16" s="37" t="s">
        <v>393</v>
      </c>
      <c r="E16" s="226"/>
      <c r="F16" s="226"/>
      <c r="G16" s="226"/>
      <c r="H16" s="226"/>
      <c r="I16" s="226"/>
      <c r="J16" s="226"/>
      <c r="K16" s="120">
        <v>0</v>
      </c>
      <c r="L16" s="78">
        <v>259</v>
      </c>
      <c r="M16" s="120">
        <f t="shared" si="4"/>
        <v>259</v>
      </c>
      <c r="N16" s="78"/>
      <c r="O16" s="120">
        <f t="shared" si="5"/>
        <v>259</v>
      </c>
      <c r="P16" s="78"/>
      <c r="Q16" s="120">
        <f t="shared" si="6"/>
        <v>259</v>
      </c>
      <c r="R16" s="78"/>
      <c r="S16" s="120">
        <f t="shared" si="7"/>
        <v>259</v>
      </c>
      <c r="T16" s="78"/>
      <c r="U16" s="120">
        <f t="shared" si="8"/>
        <v>259</v>
      </c>
      <c r="V16" s="78"/>
      <c r="W16" s="120">
        <f t="shared" si="9"/>
        <v>259</v>
      </c>
      <c r="X16" s="78"/>
      <c r="Y16" s="120">
        <f t="shared" si="10"/>
        <v>259</v>
      </c>
      <c r="Z16" s="78"/>
      <c r="AA16" s="120">
        <f t="shared" si="11"/>
        <v>259</v>
      </c>
      <c r="AB16" s="78">
        <v>257</v>
      </c>
      <c r="AC16" s="120">
        <f t="shared" si="12"/>
        <v>516</v>
      </c>
    </row>
    <row r="17" spans="1:29" s="23" customFormat="1" ht="21" customHeight="1">
      <c r="A17" s="30" t="s">
        <v>15</v>
      </c>
      <c r="B17" s="3"/>
      <c r="C17" s="19"/>
      <c r="D17" s="29" t="s">
        <v>16</v>
      </c>
      <c r="E17" s="40">
        <f aca="true" t="shared" si="13" ref="E17:R17">SUM(E18)</f>
        <v>156600</v>
      </c>
      <c r="F17" s="40">
        <f t="shared" si="13"/>
        <v>0</v>
      </c>
      <c r="G17" s="40">
        <f t="shared" si="13"/>
        <v>156600</v>
      </c>
      <c r="H17" s="40">
        <f t="shared" si="13"/>
        <v>0</v>
      </c>
      <c r="I17" s="40">
        <f t="shared" si="13"/>
        <v>156600</v>
      </c>
      <c r="J17" s="40">
        <f t="shared" si="13"/>
        <v>0</v>
      </c>
      <c r="K17" s="40">
        <f t="shared" si="13"/>
        <v>156600</v>
      </c>
      <c r="L17" s="40">
        <f t="shared" si="13"/>
        <v>0</v>
      </c>
      <c r="M17" s="40">
        <f t="shared" si="13"/>
        <v>156600</v>
      </c>
      <c r="N17" s="40">
        <f t="shared" si="13"/>
        <v>0</v>
      </c>
      <c r="O17" s="40">
        <f t="shared" si="13"/>
        <v>156600</v>
      </c>
      <c r="P17" s="40">
        <f t="shared" si="13"/>
        <v>0</v>
      </c>
      <c r="Q17" s="40">
        <f t="shared" si="13"/>
        <v>156600</v>
      </c>
      <c r="R17" s="40">
        <f t="shared" si="13"/>
        <v>0</v>
      </c>
      <c r="S17" s="40">
        <f aca="true" t="shared" si="14" ref="S17:Y17">SUM(S18,S24)</f>
        <v>156600</v>
      </c>
      <c r="T17" s="40">
        <f t="shared" si="14"/>
        <v>14329</v>
      </c>
      <c r="U17" s="40">
        <f t="shared" si="14"/>
        <v>170929</v>
      </c>
      <c r="V17" s="40">
        <f t="shared" si="14"/>
        <v>0</v>
      </c>
      <c r="W17" s="40">
        <f t="shared" si="14"/>
        <v>170929</v>
      </c>
      <c r="X17" s="40">
        <f t="shared" si="14"/>
        <v>2134</v>
      </c>
      <c r="Y17" s="40">
        <f t="shared" si="14"/>
        <v>173063</v>
      </c>
      <c r="Z17" s="40">
        <f>SUM(Z18,Z24)</f>
        <v>0</v>
      </c>
      <c r="AA17" s="40">
        <f>SUM(AA18,AA24)</f>
        <v>173063</v>
      </c>
      <c r="AB17" s="40">
        <f>SUM(AB18,AB24)</f>
        <v>0</v>
      </c>
      <c r="AC17" s="40">
        <f>SUM(AC18,AC24)</f>
        <v>173063</v>
      </c>
    </row>
    <row r="18" spans="1:29" s="23" customFormat="1" ht="21" customHeight="1">
      <c r="A18" s="70"/>
      <c r="B18" s="70">
        <v>75011</v>
      </c>
      <c r="C18" s="77"/>
      <c r="D18" s="74" t="s">
        <v>17</v>
      </c>
      <c r="E18" s="88">
        <f aca="true" t="shared" si="15" ref="E18:K18">SUM(E19:E23)</f>
        <v>156600</v>
      </c>
      <c r="F18" s="88">
        <f t="shared" si="15"/>
        <v>0</v>
      </c>
      <c r="G18" s="88">
        <f t="shared" si="15"/>
        <v>156600</v>
      </c>
      <c r="H18" s="88">
        <f t="shared" si="15"/>
        <v>0</v>
      </c>
      <c r="I18" s="88">
        <f t="shared" si="15"/>
        <v>156600</v>
      </c>
      <c r="J18" s="88">
        <f t="shared" si="15"/>
        <v>0</v>
      </c>
      <c r="K18" s="88">
        <f t="shared" si="15"/>
        <v>156600</v>
      </c>
      <c r="L18" s="88">
        <f aca="true" t="shared" si="16" ref="L18:Q18">SUM(L19:L23)</f>
        <v>0</v>
      </c>
      <c r="M18" s="88">
        <f t="shared" si="16"/>
        <v>156600</v>
      </c>
      <c r="N18" s="88">
        <f t="shared" si="16"/>
        <v>0</v>
      </c>
      <c r="O18" s="88">
        <f t="shared" si="16"/>
        <v>156600</v>
      </c>
      <c r="P18" s="88">
        <f t="shared" si="16"/>
        <v>0</v>
      </c>
      <c r="Q18" s="88">
        <f t="shared" si="16"/>
        <v>156600</v>
      </c>
      <c r="R18" s="88">
        <f aca="true" t="shared" si="17" ref="R18:W18">SUM(R19:R23)</f>
        <v>0</v>
      </c>
      <c r="S18" s="88">
        <f t="shared" si="17"/>
        <v>156600</v>
      </c>
      <c r="T18" s="88">
        <f t="shared" si="17"/>
        <v>0</v>
      </c>
      <c r="U18" s="88">
        <f t="shared" si="17"/>
        <v>156600</v>
      </c>
      <c r="V18" s="88">
        <f t="shared" si="17"/>
        <v>0</v>
      </c>
      <c r="W18" s="88">
        <f t="shared" si="17"/>
        <v>156600</v>
      </c>
      <c r="X18" s="88">
        <f aca="true" t="shared" si="18" ref="X18:AC18">SUM(X19:X23)</f>
        <v>0</v>
      </c>
      <c r="Y18" s="88">
        <f t="shared" si="18"/>
        <v>156600</v>
      </c>
      <c r="Z18" s="88">
        <f t="shared" si="18"/>
        <v>0</v>
      </c>
      <c r="AA18" s="88">
        <f t="shared" si="18"/>
        <v>156600</v>
      </c>
      <c r="AB18" s="88">
        <f t="shared" si="18"/>
        <v>0</v>
      </c>
      <c r="AC18" s="88">
        <f t="shared" si="18"/>
        <v>156600</v>
      </c>
    </row>
    <row r="19" spans="1:29" s="23" customFormat="1" ht="21" customHeight="1">
      <c r="A19" s="70"/>
      <c r="B19" s="46"/>
      <c r="C19" s="71">
        <v>4010</v>
      </c>
      <c r="D19" s="74" t="s">
        <v>83</v>
      </c>
      <c r="E19" s="88">
        <v>105300</v>
      </c>
      <c r="F19" s="88"/>
      <c r="G19" s="88">
        <f>SUM(E19:F19)</f>
        <v>105300</v>
      </c>
      <c r="H19" s="88">
        <v>1657</v>
      </c>
      <c r="I19" s="88">
        <f>SUM(G19:H19)</f>
        <v>106957</v>
      </c>
      <c r="J19" s="88"/>
      <c r="K19" s="88">
        <f>SUM(I19:J19)</f>
        <v>106957</v>
      </c>
      <c r="L19" s="88"/>
      <c r="M19" s="88">
        <f>SUM(K19:L19)</f>
        <v>106957</v>
      </c>
      <c r="N19" s="88"/>
      <c r="O19" s="88">
        <f>SUM(M19:N19)</f>
        <v>106957</v>
      </c>
      <c r="P19" s="88"/>
      <c r="Q19" s="88">
        <f>SUM(O19:P19)</f>
        <v>106957</v>
      </c>
      <c r="R19" s="88"/>
      <c r="S19" s="88">
        <f>SUM(Q19:R19)</f>
        <v>106957</v>
      </c>
      <c r="T19" s="88"/>
      <c r="U19" s="88">
        <f>SUM(S19:T19)</f>
        <v>106957</v>
      </c>
      <c r="V19" s="88"/>
      <c r="W19" s="88">
        <f>SUM(U19:V19)</f>
        <v>106957</v>
      </c>
      <c r="X19" s="88"/>
      <c r="Y19" s="88">
        <f>SUM(W19:X19)</f>
        <v>106957</v>
      </c>
      <c r="Z19" s="88"/>
      <c r="AA19" s="88">
        <f>SUM(Y19:Z19)</f>
        <v>106957</v>
      </c>
      <c r="AB19" s="88"/>
      <c r="AC19" s="88">
        <f>SUM(AA19:AB19)</f>
        <v>106957</v>
      </c>
    </row>
    <row r="20" spans="1:29" s="23" customFormat="1" ht="21" customHeight="1">
      <c r="A20" s="70"/>
      <c r="B20" s="46"/>
      <c r="C20" s="71">
        <v>4040</v>
      </c>
      <c r="D20" s="74" t="s">
        <v>84</v>
      </c>
      <c r="E20" s="88">
        <v>22400</v>
      </c>
      <c r="F20" s="88"/>
      <c r="G20" s="88">
        <f>SUM(E20:F20)</f>
        <v>22400</v>
      </c>
      <c r="H20" s="88">
        <v>-2312</v>
      </c>
      <c r="I20" s="88">
        <f>SUM(G20:H20)</f>
        <v>20088</v>
      </c>
      <c r="J20" s="88"/>
      <c r="K20" s="88">
        <f>SUM(I20:J20)</f>
        <v>20088</v>
      </c>
      <c r="L20" s="88"/>
      <c r="M20" s="88">
        <f>SUM(K20:L20)</f>
        <v>20088</v>
      </c>
      <c r="N20" s="88"/>
      <c r="O20" s="88">
        <f>SUM(M20:N20)</f>
        <v>20088</v>
      </c>
      <c r="P20" s="88"/>
      <c r="Q20" s="88">
        <f>SUM(O20:P20)</f>
        <v>20088</v>
      </c>
      <c r="R20" s="88"/>
      <c r="S20" s="88">
        <f>SUM(Q20:R20)</f>
        <v>20088</v>
      </c>
      <c r="T20" s="88"/>
      <c r="U20" s="88">
        <f>SUM(S20:T20)</f>
        <v>20088</v>
      </c>
      <c r="V20" s="88"/>
      <c r="W20" s="88">
        <f>SUM(U20:V20)</f>
        <v>20088</v>
      </c>
      <c r="X20" s="88"/>
      <c r="Y20" s="88">
        <f>SUM(W20:X20)</f>
        <v>20088</v>
      </c>
      <c r="Z20" s="88"/>
      <c r="AA20" s="88">
        <f>SUM(Y20:Z20)</f>
        <v>20088</v>
      </c>
      <c r="AB20" s="88"/>
      <c r="AC20" s="88">
        <f>SUM(AA20:AB20)</f>
        <v>20088</v>
      </c>
    </row>
    <row r="21" spans="1:29" s="23" customFormat="1" ht="21" customHeight="1">
      <c r="A21" s="70"/>
      <c r="B21" s="46"/>
      <c r="C21" s="71">
        <v>4110</v>
      </c>
      <c r="D21" s="74" t="s">
        <v>85</v>
      </c>
      <c r="E21" s="88">
        <v>16500</v>
      </c>
      <c r="F21" s="88"/>
      <c r="G21" s="88">
        <f>SUM(E21:F21)</f>
        <v>16500</v>
      </c>
      <c r="H21" s="88"/>
      <c r="I21" s="88">
        <f>SUM(G21:H21)</f>
        <v>16500</v>
      </c>
      <c r="J21" s="88"/>
      <c r="K21" s="88">
        <f>SUM(I21:J21)</f>
        <v>16500</v>
      </c>
      <c r="L21" s="88"/>
      <c r="M21" s="88">
        <f>SUM(K21:L21)</f>
        <v>16500</v>
      </c>
      <c r="N21" s="88"/>
      <c r="O21" s="88">
        <f>SUM(M21:N21)</f>
        <v>16500</v>
      </c>
      <c r="P21" s="88"/>
      <c r="Q21" s="88">
        <f>SUM(O21:P21)</f>
        <v>16500</v>
      </c>
      <c r="R21" s="88"/>
      <c r="S21" s="88">
        <f>SUM(Q21:R21)</f>
        <v>16500</v>
      </c>
      <c r="T21" s="88"/>
      <c r="U21" s="88">
        <f>SUM(S21:T21)</f>
        <v>16500</v>
      </c>
      <c r="V21" s="88"/>
      <c r="W21" s="88">
        <f>SUM(U21:V21)</f>
        <v>16500</v>
      </c>
      <c r="X21" s="88"/>
      <c r="Y21" s="88">
        <f>SUM(W21:X21)</f>
        <v>16500</v>
      </c>
      <c r="Z21" s="88"/>
      <c r="AA21" s="88">
        <f>SUM(Y21:Z21)</f>
        <v>16500</v>
      </c>
      <c r="AB21" s="88"/>
      <c r="AC21" s="88">
        <f>SUM(AA21:AB21)</f>
        <v>16500</v>
      </c>
    </row>
    <row r="22" spans="1:29" s="23" customFormat="1" ht="21" customHeight="1">
      <c r="A22" s="70"/>
      <c r="B22" s="46"/>
      <c r="C22" s="71">
        <v>4120</v>
      </c>
      <c r="D22" s="74" t="s">
        <v>86</v>
      </c>
      <c r="E22" s="88">
        <v>3100</v>
      </c>
      <c r="F22" s="88"/>
      <c r="G22" s="88">
        <f>SUM(E22:F22)</f>
        <v>3100</v>
      </c>
      <c r="H22" s="88"/>
      <c r="I22" s="88">
        <f>SUM(G22:H22)</f>
        <v>3100</v>
      </c>
      <c r="J22" s="88"/>
      <c r="K22" s="88">
        <f>SUM(I22:J22)</f>
        <v>3100</v>
      </c>
      <c r="L22" s="88"/>
      <c r="M22" s="88">
        <f>SUM(K22:L22)</f>
        <v>3100</v>
      </c>
      <c r="N22" s="88"/>
      <c r="O22" s="88">
        <f>SUM(M22:N22)</f>
        <v>3100</v>
      </c>
      <c r="P22" s="88"/>
      <c r="Q22" s="88">
        <f>SUM(O22:P22)</f>
        <v>3100</v>
      </c>
      <c r="R22" s="88"/>
      <c r="S22" s="88">
        <f>SUM(Q22:R22)</f>
        <v>3100</v>
      </c>
      <c r="T22" s="88"/>
      <c r="U22" s="88">
        <f>SUM(S22:T22)</f>
        <v>3100</v>
      </c>
      <c r="V22" s="88"/>
      <c r="W22" s="88">
        <f>SUM(U22:V22)</f>
        <v>3100</v>
      </c>
      <c r="X22" s="88"/>
      <c r="Y22" s="88">
        <f>SUM(W22:X22)</f>
        <v>3100</v>
      </c>
      <c r="Z22" s="88"/>
      <c r="AA22" s="88">
        <f>SUM(Y22:Z22)</f>
        <v>3100</v>
      </c>
      <c r="AB22" s="88"/>
      <c r="AC22" s="88">
        <f>SUM(AA22:AB22)</f>
        <v>3100</v>
      </c>
    </row>
    <row r="23" spans="1:29" s="23" customFormat="1" ht="22.5">
      <c r="A23" s="70"/>
      <c r="B23" s="46"/>
      <c r="C23" s="72">
        <v>4440</v>
      </c>
      <c r="D23" s="74" t="s">
        <v>87</v>
      </c>
      <c r="E23" s="88">
        <v>9300</v>
      </c>
      <c r="F23" s="88"/>
      <c r="G23" s="88">
        <f>SUM(E23:F23)</f>
        <v>9300</v>
      </c>
      <c r="H23" s="88">
        <v>655</v>
      </c>
      <c r="I23" s="88">
        <f>SUM(G23:H23)</f>
        <v>9955</v>
      </c>
      <c r="J23" s="88"/>
      <c r="K23" s="88">
        <f>SUM(I23:J23)</f>
        <v>9955</v>
      </c>
      <c r="L23" s="88"/>
      <c r="M23" s="88">
        <f>SUM(K23:L23)</f>
        <v>9955</v>
      </c>
      <c r="N23" s="88"/>
      <c r="O23" s="88">
        <f>SUM(M23:N23)</f>
        <v>9955</v>
      </c>
      <c r="P23" s="88"/>
      <c r="Q23" s="88">
        <f>SUM(O23:P23)</f>
        <v>9955</v>
      </c>
      <c r="R23" s="88"/>
      <c r="S23" s="88">
        <f>SUM(Q23:R23)</f>
        <v>9955</v>
      </c>
      <c r="T23" s="88"/>
      <c r="U23" s="88">
        <f>SUM(S23:T23)</f>
        <v>9955</v>
      </c>
      <c r="V23" s="88"/>
      <c r="W23" s="88">
        <f>SUM(U23:V23)</f>
        <v>9955</v>
      </c>
      <c r="X23" s="88"/>
      <c r="Y23" s="88">
        <f>SUM(W23:X23)</f>
        <v>9955</v>
      </c>
      <c r="Z23" s="88"/>
      <c r="AA23" s="88">
        <f>SUM(Y23:Z23)</f>
        <v>9955</v>
      </c>
      <c r="AB23" s="88"/>
      <c r="AC23" s="88">
        <f>SUM(AA23:AB23)</f>
        <v>9955</v>
      </c>
    </row>
    <row r="24" spans="1:29" s="23" customFormat="1" ht="19.5" customHeight="1">
      <c r="A24" s="70"/>
      <c r="B24" s="46">
        <v>75056</v>
      </c>
      <c r="C24" s="72"/>
      <c r="D24" s="74" t="s">
        <v>419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>
        <f aca="true" t="shared" si="19" ref="S24:Y24">SUM(S25:S32)</f>
        <v>0</v>
      </c>
      <c r="T24" s="88">
        <f t="shared" si="19"/>
        <v>14329</v>
      </c>
      <c r="U24" s="88">
        <f t="shared" si="19"/>
        <v>14329</v>
      </c>
      <c r="V24" s="88">
        <f t="shared" si="19"/>
        <v>0</v>
      </c>
      <c r="W24" s="88">
        <f t="shared" si="19"/>
        <v>14329</v>
      </c>
      <c r="X24" s="88">
        <f t="shared" si="19"/>
        <v>2134</v>
      </c>
      <c r="Y24" s="88">
        <f t="shared" si="19"/>
        <v>16463</v>
      </c>
      <c r="Z24" s="88">
        <f>SUM(Z25:Z32)</f>
        <v>0</v>
      </c>
      <c r="AA24" s="88">
        <f>SUM(AA25:AA32)</f>
        <v>16463</v>
      </c>
      <c r="AB24" s="88">
        <f>SUM(AB25:AB32)</f>
        <v>0</v>
      </c>
      <c r="AC24" s="88">
        <f>SUM(AC25:AC32)</f>
        <v>16463</v>
      </c>
    </row>
    <row r="25" spans="1:29" s="23" customFormat="1" ht="22.5">
      <c r="A25" s="70"/>
      <c r="B25" s="46"/>
      <c r="C25" s="72">
        <v>3020</v>
      </c>
      <c r="D25" s="37" t="s">
        <v>187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>
        <v>0</v>
      </c>
      <c r="T25" s="88">
        <v>11500</v>
      </c>
      <c r="U25" s="88">
        <f aca="true" t="shared" si="20" ref="U25:U32">SUM(S25:T25)</f>
        <v>11500</v>
      </c>
      <c r="V25" s="88"/>
      <c r="W25" s="88">
        <f aca="true" t="shared" si="21" ref="W25:W32">SUM(U25:V25)</f>
        <v>11500</v>
      </c>
      <c r="X25" s="88"/>
      <c r="Y25" s="88">
        <f aca="true" t="shared" si="22" ref="Y25:Y32">SUM(W25:X25)</f>
        <v>11500</v>
      </c>
      <c r="Z25" s="88"/>
      <c r="AA25" s="88">
        <f aca="true" t="shared" si="23" ref="AA25:AA32">SUM(Y25:Z25)</f>
        <v>11500</v>
      </c>
      <c r="AB25" s="88"/>
      <c r="AC25" s="88">
        <f aca="true" t="shared" si="24" ref="AC25:AC32">SUM(AA25:AB25)</f>
        <v>11500</v>
      </c>
    </row>
    <row r="26" spans="1:29" s="23" customFormat="1" ht="19.5" customHeight="1">
      <c r="A26" s="70"/>
      <c r="B26" s="46"/>
      <c r="C26" s="72">
        <v>4110</v>
      </c>
      <c r="D26" s="74" t="s">
        <v>85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>
        <v>0</v>
      </c>
      <c r="T26" s="88">
        <v>1747</v>
      </c>
      <c r="U26" s="88">
        <f t="shared" si="20"/>
        <v>1747</v>
      </c>
      <c r="V26" s="88"/>
      <c r="W26" s="88">
        <f t="shared" si="21"/>
        <v>1747</v>
      </c>
      <c r="X26" s="88">
        <v>276</v>
      </c>
      <c r="Y26" s="88">
        <f t="shared" si="22"/>
        <v>2023</v>
      </c>
      <c r="Z26" s="88"/>
      <c r="AA26" s="88">
        <f t="shared" si="23"/>
        <v>2023</v>
      </c>
      <c r="AB26" s="88"/>
      <c r="AC26" s="88">
        <f t="shared" si="24"/>
        <v>2023</v>
      </c>
    </row>
    <row r="27" spans="1:29" s="23" customFormat="1" ht="19.5" customHeight="1">
      <c r="A27" s="70"/>
      <c r="B27" s="46"/>
      <c r="C27" s="72">
        <v>4120</v>
      </c>
      <c r="D27" s="74" t="s">
        <v>86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>
        <v>0</v>
      </c>
      <c r="T27" s="88">
        <v>282</v>
      </c>
      <c r="U27" s="88">
        <f t="shared" si="20"/>
        <v>282</v>
      </c>
      <c r="V27" s="88"/>
      <c r="W27" s="88">
        <f t="shared" si="21"/>
        <v>282</v>
      </c>
      <c r="X27" s="88">
        <v>45</v>
      </c>
      <c r="Y27" s="88">
        <f t="shared" si="22"/>
        <v>327</v>
      </c>
      <c r="Z27" s="88"/>
      <c r="AA27" s="88">
        <f t="shared" si="23"/>
        <v>327</v>
      </c>
      <c r="AB27" s="88"/>
      <c r="AC27" s="88">
        <f t="shared" si="24"/>
        <v>327</v>
      </c>
    </row>
    <row r="28" spans="1:29" s="23" customFormat="1" ht="19.5" customHeight="1">
      <c r="A28" s="70"/>
      <c r="B28" s="46"/>
      <c r="C28" s="72">
        <v>4170</v>
      </c>
      <c r="D28" s="74" t="s">
        <v>189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>
        <v>0</v>
      </c>
      <c r="X28" s="88">
        <v>1813</v>
      </c>
      <c r="Y28" s="88">
        <f t="shared" si="22"/>
        <v>1813</v>
      </c>
      <c r="Z28" s="88"/>
      <c r="AA28" s="88">
        <f t="shared" si="23"/>
        <v>1813</v>
      </c>
      <c r="AB28" s="88"/>
      <c r="AC28" s="88">
        <f t="shared" si="24"/>
        <v>1813</v>
      </c>
    </row>
    <row r="29" spans="1:29" s="23" customFormat="1" ht="19.5" customHeight="1">
      <c r="A29" s="70"/>
      <c r="B29" s="46"/>
      <c r="C29" s="72">
        <v>4210</v>
      </c>
      <c r="D29" s="37" t="s">
        <v>91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>
        <v>0</v>
      </c>
      <c r="T29" s="88">
        <v>85</v>
      </c>
      <c r="U29" s="88">
        <f t="shared" si="20"/>
        <v>85</v>
      </c>
      <c r="V29" s="88"/>
      <c r="W29" s="88">
        <f t="shared" si="21"/>
        <v>85</v>
      </c>
      <c r="X29" s="88"/>
      <c r="Y29" s="88">
        <f t="shared" si="22"/>
        <v>85</v>
      </c>
      <c r="Z29" s="88"/>
      <c r="AA29" s="88">
        <f t="shared" si="23"/>
        <v>85</v>
      </c>
      <c r="AB29" s="88"/>
      <c r="AC29" s="88">
        <f t="shared" si="24"/>
        <v>85</v>
      </c>
    </row>
    <row r="30" spans="1:29" s="23" customFormat="1" ht="19.5" customHeight="1">
      <c r="A30" s="70"/>
      <c r="B30" s="46"/>
      <c r="C30" s="72">
        <v>4410</v>
      </c>
      <c r="D30" s="37" t="s">
        <v>89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>
        <v>0</v>
      </c>
      <c r="T30" s="88">
        <v>640</v>
      </c>
      <c r="U30" s="88">
        <f t="shared" si="20"/>
        <v>640</v>
      </c>
      <c r="V30" s="88"/>
      <c r="W30" s="88">
        <f t="shared" si="21"/>
        <v>640</v>
      </c>
      <c r="X30" s="88"/>
      <c r="Y30" s="88">
        <f t="shared" si="22"/>
        <v>640</v>
      </c>
      <c r="Z30" s="88"/>
      <c r="AA30" s="88">
        <f t="shared" si="23"/>
        <v>640</v>
      </c>
      <c r="AB30" s="88"/>
      <c r="AC30" s="88">
        <f t="shared" si="24"/>
        <v>640</v>
      </c>
    </row>
    <row r="31" spans="1:29" s="23" customFormat="1" ht="40.5" customHeight="1">
      <c r="A31" s="70"/>
      <c r="B31" s="46"/>
      <c r="C31" s="72">
        <v>4740</v>
      </c>
      <c r="D31" s="37" t="s">
        <v>249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>
        <v>0</v>
      </c>
      <c r="T31" s="88">
        <v>25</v>
      </c>
      <c r="U31" s="88">
        <f t="shared" si="20"/>
        <v>25</v>
      </c>
      <c r="V31" s="88"/>
      <c r="W31" s="88">
        <f t="shared" si="21"/>
        <v>25</v>
      </c>
      <c r="X31" s="88"/>
      <c r="Y31" s="88">
        <f t="shared" si="22"/>
        <v>25</v>
      </c>
      <c r="Z31" s="88"/>
      <c r="AA31" s="88">
        <f t="shared" si="23"/>
        <v>25</v>
      </c>
      <c r="AB31" s="88"/>
      <c r="AC31" s="88">
        <f t="shared" si="24"/>
        <v>25</v>
      </c>
    </row>
    <row r="32" spans="1:29" s="23" customFormat="1" ht="33.75" customHeight="1">
      <c r="A32" s="70"/>
      <c r="B32" s="46"/>
      <c r="C32" s="72">
        <v>4750</v>
      </c>
      <c r="D32" s="37" t="s">
        <v>393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>
        <v>0</v>
      </c>
      <c r="T32" s="88">
        <v>50</v>
      </c>
      <c r="U32" s="88">
        <f t="shared" si="20"/>
        <v>50</v>
      </c>
      <c r="V32" s="88"/>
      <c r="W32" s="88">
        <f t="shared" si="21"/>
        <v>50</v>
      </c>
      <c r="X32" s="88"/>
      <c r="Y32" s="88">
        <f t="shared" si="22"/>
        <v>50</v>
      </c>
      <c r="Z32" s="88"/>
      <c r="AA32" s="88">
        <f t="shared" si="23"/>
        <v>50</v>
      </c>
      <c r="AB32" s="88"/>
      <c r="AC32" s="88">
        <f t="shared" si="24"/>
        <v>50</v>
      </c>
    </row>
    <row r="33" spans="1:29" s="23" customFormat="1" ht="48">
      <c r="A33" s="30">
        <v>751</v>
      </c>
      <c r="B33" s="3"/>
      <c r="C33" s="19"/>
      <c r="D33" s="29" t="s">
        <v>20</v>
      </c>
      <c r="E33" s="40">
        <f aca="true" t="shared" si="25" ref="E33:J33">E34</f>
        <v>3952</v>
      </c>
      <c r="F33" s="40">
        <f t="shared" si="25"/>
        <v>0</v>
      </c>
      <c r="G33" s="40">
        <f t="shared" si="25"/>
        <v>3952</v>
      </c>
      <c r="H33" s="40">
        <f t="shared" si="25"/>
        <v>0</v>
      </c>
      <c r="I33" s="40">
        <f t="shared" si="25"/>
        <v>3952</v>
      </c>
      <c r="J33" s="40">
        <f t="shared" si="25"/>
        <v>0</v>
      </c>
      <c r="K33" s="40">
        <f aca="true" t="shared" si="26" ref="K33:Q33">SUM(K34,K38)</f>
        <v>3952</v>
      </c>
      <c r="L33" s="40">
        <f t="shared" si="26"/>
        <v>20663</v>
      </c>
      <c r="M33" s="40">
        <f t="shared" si="26"/>
        <v>24615</v>
      </c>
      <c r="N33" s="40">
        <f t="shared" si="26"/>
        <v>21375</v>
      </c>
      <c r="O33" s="40">
        <f t="shared" si="26"/>
        <v>45990</v>
      </c>
      <c r="P33" s="40">
        <f t="shared" si="26"/>
        <v>11000</v>
      </c>
      <c r="Q33" s="40">
        <f t="shared" si="26"/>
        <v>56990</v>
      </c>
      <c r="R33" s="40">
        <f aca="true" t="shared" si="27" ref="R33:W33">SUM(R34,R38)</f>
        <v>21375</v>
      </c>
      <c r="S33" s="40">
        <f t="shared" si="27"/>
        <v>78365</v>
      </c>
      <c r="T33" s="40">
        <f t="shared" si="27"/>
        <v>0</v>
      </c>
      <c r="U33" s="40">
        <f t="shared" si="27"/>
        <v>78365</v>
      </c>
      <c r="V33" s="40">
        <f t="shared" si="27"/>
        <v>0</v>
      </c>
      <c r="W33" s="40">
        <f t="shared" si="27"/>
        <v>78365</v>
      </c>
      <c r="X33" s="40">
        <f>SUM(X34,X38)</f>
        <v>0</v>
      </c>
      <c r="Y33" s="40">
        <f>SUM(Y34,Y38)</f>
        <v>78365</v>
      </c>
      <c r="Z33" s="40">
        <f>SUM(Z34,Z38)</f>
        <v>0</v>
      </c>
      <c r="AA33" s="40">
        <f>SUM(AA34,AA38,AA51)</f>
        <v>164252</v>
      </c>
      <c r="AB33" s="40">
        <f>SUM(AB34,AB38,AB51)</f>
        <v>0</v>
      </c>
      <c r="AC33" s="40">
        <f>SUM(AC34,AC38,AC51)</f>
        <v>164252</v>
      </c>
    </row>
    <row r="34" spans="1:29" s="23" customFormat="1" ht="29.25" customHeight="1">
      <c r="A34" s="46"/>
      <c r="B34" s="70">
        <v>75101</v>
      </c>
      <c r="C34" s="77"/>
      <c r="D34" s="74" t="s">
        <v>21</v>
      </c>
      <c r="E34" s="88">
        <f aca="true" t="shared" si="28" ref="E34:K34">SUM(E35:E37)</f>
        <v>3952</v>
      </c>
      <c r="F34" s="88">
        <f t="shared" si="28"/>
        <v>0</v>
      </c>
      <c r="G34" s="88">
        <f t="shared" si="28"/>
        <v>3952</v>
      </c>
      <c r="H34" s="88">
        <f t="shared" si="28"/>
        <v>0</v>
      </c>
      <c r="I34" s="88">
        <f t="shared" si="28"/>
        <v>3952</v>
      </c>
      <c r="J34" s="88">
        <f t="shared" si="28"/>
        <v>0</v>
      </c>
      <c r="K34" s="88">
        <f t="shared" si="28"/>
        <v>3952</v>
      </c>
      <c r="L34" s="88">
        <f aca="true" t="shared" si="29" ref="L34:Q34">SUM(L35:L37)</f>
        <v>0</v>
      </c>
      <c r="M34" s="88">
        <f t="shared" si="29"/>
        <v>3952</v>
      </c>
      <c r="N34" s="88">
        <f t="shared" si="29"/>
        <v>0</v>
      </c>
      <c r="O34" s="88">
        <f t="shared" si="29"/>
        <v>3952</v>
      </c>
      <c r="P34" s="88">
        <f t="shared" si="29"/>
        <v>0</v>
      </c>
      <c r="Q34" s="88">
        <f t="shared" si="29"/>
        <v>3952</v>
      </c>
      <c r="R34" s="88">
        <f aca="true" t="shared" si="30" ref="R34:W34">SUM(R35:R37)</f>
        <v>0</v>
      </c>
      <c r="S34" s="88">
        <f t="shared" si="30"/>
        <v>3952</v>
      </c>
      <c r="T34" s="88">
        <f t="shared" si="30"/>
        <v>0</v>
      </c>
      <c r="U34" s="88">
        <f t="shared" si="30"/>
        <v>3952</v>
      </c>
      <c r="V34" s="88">
        <f t="shared" si="30"/>
        <v>0</v>
      </c>
      <c r="W34" s="88">
        <f t="shared" si="30"/>
        <v>3952</v>
      </c>
      <c r="X34" s="88">
        <f aca="true" t="shared" si="31" ref="X34:AC34">SUM(X35:X37)</f>
        <v>0</v>
      </c>
      <c r="Y34" s="88">
        <f t="shared" si="31"/>
        <v>3952</v>
      </c>
      <c r="Z34" s="88">
        <f t="shared" si="31"/>
        <v>0</v>
      </c>
      <c r="AA34" s="88">
        <f t="shared" si="31"/>
        <v>3952</v>
      </c>
      <c r="AB34" s="88">
        <f t="shared" si="31"/>
        <v>0</v>
      </c>
      <c r="AC34" s="88">
        <f t="shared" si="31"/>
        <v>3952</v>
      </c>
    </row>
    <row r="35" spans="1:29" s="23" customFormat="1" ht="27" customHeight="1">
      <c r="A35" s="46"/>
      <c r="B35" s="70"/>
      <c r="C35" s="71">
        <v>4010</v>
      </c>
      <c r="D35" s="12" t="s">
        <v>83</v>
      </c>
      <c r="E35" s="88">
        <v>3360</v>
      </c>
      <c r="F35" s="88"/>
      <c r="G35" s="88">
        <f>SUM(E35:F35)</f>
        <v>3360</v>
      </c>
      <c r="H35" s="88"/>
      <c r="I35" s="88">
        <f>SUM(G35:H35)</f>
        <v>3360</v>
      </c>
      <c r="J35" s="88"/>
      <c r="K35" s="88">
        <f>SUM(I35:J35)</f>
        <v>3360</v>
      </c>
      <c r="L35" s="88"/>
      <c r="M35" s="88">
        <f>SUM(K35:L35)</f>
        <v>3360</v>
      </c>
      <c r="N35" s="88"/>
      <c r="O35" s="88">
        <f>SUM(M35:N35)</f>
        <v>3360</v>
      </c>
      <c r="P35" s="88"/>
      <c r="Q35" s="88">
        <f>SUM(O35:P35)</f>
        <v>3360</v>
      </c>
      <c r="R35" s="88"/>
      <c r="S35" s="88">
        <f>SUM(Q35:R35)</f>
        <v>3360</v>
      </c>
      <c r="T35" s="88"/>
      <c r="U35" s="88">
        <f>SUM(S35:T35)</f>
        <v>3360</v>
      </c>
      <c r="V35" s="88"/>
      <c r="W35" s="88">
        <f>SUM(U35:V35)</f>
        <v>3360</v>
      </c>
      <c r="X35" s="88"/>
      <c r="Y35" s="88">
        <f>SUM(W35:X35)</f>
        <v>3360</v>
      </c>
      <c r="Z35" s="88"/>
      <c r="AA35" s="88">
        <f>SUM(Y35:Z35)</f>
        <v>3360</v>
      </c>
      <c r="AB35" s="88"/>
      <c r="AC35" s="88">
        <f>SUM(AA35:AB35)</f>
        <v>3360</v>
      </c>
    </row>
    <row r="36" spans="1:29" s="23" customFormat="1" ht="21.75" customHeight="1">
      <c r="A36" s="46"/>
      <c r="B36" s="70"/>
      <c r="C36" s="71">
        <v>4110</v>
      </c>
      <c r="D36" s="12" t="s">
        <v>85</v>
      </c>
      <c r="E36" s="88">
        <v>510</v>
      </c>
      <c r="F36" s="88"/>
      <c r="G36" s="88">
        <f>SUM(E36:F36)</f>
        <v>510</v>
      </c>
      <c r="H36" s="88"/>
      <c r="I36" s="88">
        <f>SUM(G36:H36)</f>
        <v>510</v>
      </c>
      <c r="J36" s="88"/>
      <c r="K36" s="88">
        <f>SUM(I36:J36)</f>
        <v>510</v>
      </c>
      <c r="L36" s="88"/>
      <c r="M36" s="88">
        <f>SUM(K36:L36)</f>
        <v>510</v>
      </c>
      <c r="N36" s="88"/>
      <c r="O36" s="88">
        <f>SUM(M36:N36)</f>
        <v>510</v>
      </c>
      <c r="P36" s="88"/>
      <c r="Q36" s="88">
        <f>SUM(O36:P36)</f>
        <v>510</v>
      </c>
      <c r="R36" s="88"/>
      <c r="S36" s="88">
        <f>SUM(Q36:R36)</f>
        <v>510</v>
      </c>
      <c r="T36" s="88"/>
      <c r="U36" s="88">
        <f>SUM(S36:T36)</f>
        <v>510</v>
      </c>
      <c r="V36" s="88"/>
      <c r="W36" s="88">
        <f>SUM(U36:V36)</f>
        <v>510</v>
      </c>
      <c r="X36" s="88"/>
      <c r="Y36" s="88">
        <f>SUM(W36:X36)</f>
        <v>510</v>
      </c>
      <c r="Z36" s="88"/>
      <c r="AA36" s="88">
        <f>SUM(Y36:Z36)</f>
        <v>510</v>
      </c>
      <c r="AB36" s="88"/>
      <c r="AC36" s="88">
        <f>SUM(AA36:AB36)</f>
        <v>510</v>
      </c>
    </row>
    <row r="37" spans="1:29" s="23" customFormat="1" ht="19.5" customHeight="1">
      <c r="A37" s="46"/>
      <c r="B37" s="70"/>
      <c r="C37" s="71">
        <v>4120</v>
      </c>
      <c r="D37" s="12" t="s">
        <v>86</v>
      </c>
      <c r="E37" s="88">
        <v>82</v>
      </c>
      <c r="F37" s="88"/>
      <c r="G37" s="88">
        <f>SUM(E37:F37)</f>
        <v>82</v>
      </c>
      <c r="H37" s="88"/>
      <c r="I37" s="88">
        <f>SUM(G37:H37)</f>
        <v>82</v>
      </c>
      <c r="J37" s="88"/>
      <c r="K37" s="88">
        <f>SUM(I37:J37)</f>
        <v>82</v>
      </c>
      <c r="L37" s="88"/>
      <c r="M37" s="88">
        <f>SUM(K37:L37)</f>
        <v>82</v>
      </c>
      <c r="N37" s="88"/>
      <c r="O37" s="88">
        <f>SUM(M37:N37)</f>
        <v>82</v>
      </c>
      <c r="P37" s="88"/>
      <c r="Q37" s="88">
        <f>SUM(O37:P37)</f>
        <v>82</v>
      </c>
      <c r="R37" s="88"/>
      <c r="S37" s="88">
        <f>SUM(Q37:R37)</f>
        <v>82</v>
      </c>
      <c r="T37" s="88"/>
      <c r="U37" s="88">
        <f>SUM(S37:T37)</f>
        <v>82</v>
      </c>
      <c r="V37" s="88"/>
      <c r="W37" s="88">
        <f>SUM(U37:V37)</f>
        <v>82</v>
      </c>
      <c r="X37" s="88"/>
      <c r="Y37" s="88">
        <f>SUM(W37:X37)</f>
        <v>82</v>
      </c>
      <c r="Z37" s="88"/>
      <c r="AA37" s="88">
        <f>SUM(Y37:Z37)</f>
        <v>82</v>
      </c>
      <c r="AB37" s="88"/>
      <c r="AC37" s="88">
        <f>SUM(AA37:AB37)</f>
        <v>82</v>
      </c>
    </row>
    <row r="38" spans="1:29" s="23" customFormat="1" ht="30.75" customHeight="1">
      <c r="A38" s="46"/>
      <c r="B38" s="70">
        <v>75107</v>
      </c>
      <c r="C38" s="71"/>
      <c r="D38" s="74" t="s">
        <v>392</v>
      </c>
      <c r="E38" s="88"/>
      <c r="F38" s="88"/>
      <c r="G38" s="88"/>
      <c r="H38" s="88"/>
      <c r="I38" s="88"/>
      <c r="J38" s="88"/>
      <c r="K38" s="88">
        <f>SUM(K40:K49)</f>
        <v>0</v>
      </c>
      <c r="L38" s="88">
        <f>SUM(L40:L49)</f>
        <v>20663</v>
      </c>
      <c r="M38" s="88">
        <f>SUM(M39:M49)</f>
        <v>20663</v>
      </c>
      <c r="N38" s="88">
        <f>SUM(N39:N49)</f>
        <v>21375</v>
      </c>
      <c r="O38" s="88">
        <f aca="true" t="shared" si="32" ref="O38:U38">SUM(O39:O50)</f>
        <v>42038</v>
      </c>
      <c r="P38" s="88">
        <f t="shared" si="32"/>
        <v>11000</v>
      </c>
      <c r="Q38" s="88">
        <f t="shared" si="32"/>
        <v>53038</v>
      </c>
      <c r="R38" s="88">
        <f t="shared" si="32"/>
        <v>21375</v>
      </c>
      <c r="S38" s="88">
        <f t="shared" si="32"/>
        <v>74413</v>
      </c>
      <c r="T38" s="88">
        <f t="shared" si="32"/>
        <v>0</v>
      </c>
      <c r="U38" s="88">
        <f t="shared" si="32"/>
        <v>74413</v>
      </c>
      <c r="V38" s="88">
        <f aca="true" t="shared" si="33" ref="V38:AA38">SUM(V39:V50)</f>
        <v>0</v>
      </c>
      <c r="W38" s="88">
        <f t="shared" si="33"/>
        <v>74413</v>
      </c>
      <c r="X38" s="88">
        <f t="shared" si="33"/>
        <v>0</v>
      </c>
      <c r="Y38" s="88">
        <f t="shared" si="33"/>
        <v>74413</v>
      </c>
      <c r="Z38" s="88">
        <f t="shared" si="33"/>
        <v>0</v>
      </c>
      <c r="AA38" s="88">
        <f t="shared" si="33"/>
        <v>74413</v>
      </c>
      <c r="AB38" s="88">
        <f>SUM(AB39:AB50)</f>
        <v>0</v>
      </c>
      <c r="AC38" s="88">
        <f>SUM(AC39:AC50)</f>
        <v>74413</v>
      </c>
    </row>
    <row r="39" spans="1:29" s="23" customFormat="1" ht="22.5">
      <c r="A39" s="46"/>
      <c r="B39" s="70"/>
      <c r="C39" s="71">
        <v>3030</v>
      </c>
      <c r="D39" s="37" t="s">
        <v>88</v>
      </c>
      <c r="E39" s="88"/>
      <c r="F39" s="88"/>
      <c r="G39" s="88"/>
      <c r="H39" s="88"/>
      <c r="I39" s="88"/>
      <c r="J39" s="88"/>
      <c r="K39" s="88"/>
      <c r="L39" s="88"/>
      <c r="M39" s="88">
        <v>0</v>
      </c>
      <c r="N39" s="88">
        <v>21375</v>
      </c>
      <c r="O39" s="88">
        <f>SUM(M39:N39)</f>
        <v>21375</v>
      </c>
      <c r="P39" s="88"/>
      <c r="Q39" s="88">
        <f>SUM(O39:P39)</f>
        <v>21375</v>
      </c>
      <c r="R39" s="88">
        <v>21375</v>
      </c>
      <c r="S39" s="88">
        <f>SUM(Q39:R39)</f>
        <v>42750</v>
      </c>
      <c r="T39" s="88"/>
      <c r="U39" s="88">
        <f>SUM(S39:T39)</f>
        <v>42750</v>
      </c>
      <c r="V39" s="88"/>
      <c r="W39" s="88">
        <f>SUM(U39:V39)</f>
        <v>42750</v>
      </c>
      <c r="X39" s="88"/>
      <c r="Y39" s="88">
        <f>SUM(W39:X39)</f>
        <v>42750</v>
      </c>
      <c r="Z39" s="88"/>
      <c r="AA39" s="88">
        <f>SUM(Y39:Z39)</f>
        <v>42750</v>
      </c>
      <c r="AB39" s="88"/>
      <c r="AC39" s="88">
        <f>SUM(AA39:AB39)</f>
        <v>42750</v>
      </c>
    </row>
    <row r="40" spans="1:29" s="23" customFormat="1" ht="19.5" customHeight="1">
      <c r="A40" s="46"/>
      <c r="B40" s="70"/>
      <c r="C40" s="71">
        <v>4110</v>
      </c>
      <c r="D40" s="74" t="s">
        <v>85</v>
      </c>
      <c r="E40" s="88"/>
      <c r="F40" s="88"/>
      <c r="G40" s="88"/>
      <c r="H40" s="88"/>
      <c r="I40" s="88"/>
      <c r="J40" s="88"/>
      <c r="K40" s="88">
        <v>0</v>
      </c>
      <c r="L40" s="88">
        <v>570</v>
      </c>
      <c r="M40" s="88">
        <f>SUM(K40:L40)</f>
        <v>570</v>
      </c>
      <c r="N40" s="88"/>
      <c r="O40" s="88">
        <f>SUM(M40:N40)</f>
        <v>570</v>
      </c>
      <c r="P40" s="88">
        <v>493</v>
      </c>
      <c r="Q40" s="88">
        <f>SUM(O40:P40)</f>
        <v>1063</v>
      </c>
      <c r="R40" s="88"/>
      <c r="S40" s="88">
        <f>SUM(Q40:R40)</f>
        <v>1063</v>
      </c>
      <c r="T40" s="88">
        <v>118</v>
      </c>
      <c r="U40" s="88">
        <f>SUM(S40:T40)</f>
        <v>1181</v>
      </c>
      <c r="V40" s="88"/>
      <c r="W40" s="88">
        <f>SUM(U40:V40)</f>
        <v>1181</v>
      </c>
      <c r="X40" s="88"/>
      <c r="Y40" s="88">
        <f>SUM(W40:X40)</f>
        <v>1181</v>
      </c>
      <c r="Z40" s="88"/>
      <c r="AA40" s="88">
        <f>SUM(Y40:Z40)</f>
        <v>1181</v>
      </c>
      <c r="AB40" s="88"/>
      <c r="AC40" s="88">
        <f>SUM(AA40:AB40)</f>
        <v>1181</v>
      </c>
    </row>
    <row r="41" spans="1:29" s="23" customFormat="1" ht="19.5" customHeight="1">
      <c r="A41" s="46"/>
      <c r="B41" s="70"/>
      <c r="C41" s="71">
        <v>4120</v>
      </c>
      <c r="D41" s="74" t="s">
        <v>86</v>
      </c>
      <c r="E41" s="88"/>
      <c r="F41" s="88"/>
      <c r="G41" s="88"/>
      <c r="H41" s="88"/>
      <c r="I41" s="88"/>
      <c r="J41" s="88"/>
      <c r="K41" s="88">
        <v>0</v>
      </c>
      <c r="L41" s="88">
        <v>100</v>
      </c>
      <c r="M41" s="88">
        <f aca="true" t="shared" si="34" ref="M41:M49">SUM(K41:L41)</f>
        <v>100</v>
      </c>
      <c r="N41" s="88"/>
      <c r="O41" s="88">
        <f aca="true" t="shared" si="35" ref="O41:O49">SUM(M41:N41)</f>
        <v>100</v>
      </c>
      <c r="P41" s="88">
        <v>71</v>
      </c>
      <c r="Q41" s="88">
        <f aca="true" t="shared" si="36" ref="Q41:Q50">SUM(O41:P41)</f>
        <v>171</v>
      </c>
      <c r="R41" s="88"/>
      <c r="S41" s="88">
        <f aca="true" t="shared" si="37" ref="S41:S50">SUM(Q41:R41)</f>
        <v>171</v>
      </c>
      <c r="T41" s="88">
        <v>3</v>
      </c>
      <c r="U41" s="88">
        <f aca="true" t="shared" si="38" ref="U41:U50">SUM(S41:T41)</f>
        <v>174</v>
      </c>
      <c r="V41" s="88"/>
      <c r="W41" s="88">
        <f aca="true" t="shared" si="39" ref="W41:W50">SUM(U41:V41)</f>
        <v>174</v>
      </c>
      <c r="X41" s="88"/>
      <c r="Y41" s="88">
        <f aca="true" t="shared" si="40" ref="Y41:Y50">SUM(W41:X41)</f>
        <v>174</v>
      </c>
      <c r="Z41" s="88"/>
      <c r="AA41" s="88">
        <f aca="true" t="shared" si="41" ref="AA41:AA50">SUM(Y41:Z41)</f>
        <v>174</v>
      </c>
      <c r="AB41" s="88"/>
      <c r="AC41" s="88">
        <f aca="true" t="shared" si="42" ref="AC41:AC50">SUM(AA41:AB41)</f>
        <v>174</v>
      </c>
    </row>
    <row r="42" spans="1:29" s="23" customFormat="1" ht="19.5" customHeight="1">
      <c r="A42" s="46"/>
      <c r="B42" s="70"/>
      <c r="C42" s="71">
        <v>4170</v>
      </c>
      <c r="D42" s="37" t="s">
        <v>189</v>
      </c>
      <c r="E42" s="88"/>
      <c r="F42" s="88"/>
      <c r="G42" s="88"/>
      <c r="H42" s="88"/>
      <c r="I42" s="88"/>
      <c r="J42" s="88"/>
      <c r="K42" s="88">
        <v>0</v>
      </c>
      <c r="L42" s="88">
        <v>7480</v>
      </c>
      <c r="M42" s="88">
        <f t="shared" si="34"/>
        <v>7480</v>
      </c>
      <c r="N42" s="88"/>
      <c r="O42" s="88">
        <f t="shared" si="35"/>
        <v>7480</v>
      </c>
      <c r="P42" s="88">
        <v>4475</v>
      </c>
      <c r="Q42" s="88">
        <f t="shared" si="36"/>
        <v>11955</v>
      </c>
      <c r="R42" s="88"/>
      <c r="S42" s="88">
        <f t="shared" si="37"/>
        <v>11955</v>
      </c>
      <c r="T42" s="88">
        <v>921</v>
      </c>
      <c r="U42" s="88">
        <f t="shared" si="38"/>
        <v>12876</v>
      </c>
      <c r="V42" s="88"/>
      <c r="W42" s="88">
        <f t="shared" si="39"/>
        <v>12876</v>
      </c>
      <c r="X42" s="88"/>
      <c r="Y42" s="88">
        <f t="shared" si="40"/>
        <v>12876</v>
      </c>
      <c r="Z42" s="88"/>
      <c r="AA42" s="88">
        <f t="shared" si="41"/>
        <v>12876</v>
      </c>
      <c r="AB42" s="88"/>
      <c r="AC42" s="88">
        <f t="shared" si="42"/>
        <v>12876</v>
      </c>
    </row>
    <row r="43" spans="1:29" s="23" customFormat="1" ht="19.5" customHeight="1">
      <c r="A43" s="46"/>
      <c r="B43" s="70"/>
      <c r="C43" s="71">
        <v>4210</v>
      </c>
      <c r="D43" s="37" t="s">
        <v>91</v>
      </c>
      <c r="E43" s="88"/>
      <c r="F43" s="88"/>
      <c r="G43" s="88"/>
      <c r="H43" s="88"/>
      <c r="I43" s="88"/>
      <c r="J43" s="88"/>
      <c r="K43" s="88">
        <v>0</v>
      </c>
      <c r="L43" s="88">
        <v>8141</v>
      </c>
      <c r="M43" s="88">
        <f t="shared" si="34"/>
        <v>8141</v>
      </c>
      <c r="N43" s="88">
        <v>-200</v>
      </c>
      <c r="O43" s="88">
        <f t="shared" si="35"/>
        <v>7941</v>
      </c>
      <c r="P43" s="88">
        <v>4130</v>
      </c>
      <c r="Q43" s="88">
        <f t="shared" si="36"/>
        <v>12071</v>
      </c>
      <c r="R43" s="88">
        <v>-521</v>
      </c>
      <c r="S43" s="88">
        <f t="shared" si="37"/>
        <v>11550</v>
      </c>
      <c r="T43" s="88">
        <v>-102</v>
      </c>
      <c r="U43" s="88">
        <f t="shared" si="38"/>
        <v>11448</v>
      </c>
      <c r="V43" s="88"/>
      <c r="W43" s="88">
        <f t="shared" si="39"/>
        <v>11448</v>
      </c>
      <c r="X43" s="88"/>
      <c r="Y43" s="88">
        <f t="shared" si="40"/>
        <v>11448</v>
      </c>
      <c r="Z43" s="88"/>
      <c r="AA43" s="88">
        <f t="shared" si="41"/>
        <v>11448</v>
      </c>
      <c r="AB43" s="88"/>
      <c r="AC43" s="88">
        <f t="shared" si="42"/>
        <v>11448</v>
      </c>
    </row>
    <row r="44" spans="1:29" s="23" customFormat="1" ht="19.5" customHeight="1">
      <c r="A44" s="46"/>
      <c r="B44" s="70"/>
      <c r="C44" s="71">
        <v>4270</v>
      </c>
      <c r="D44" s="37" t="s">
        <v>77</v>
      </c>
      <c r="E44" s="88"/>
      <c r="F44" s="88"/>
      <c r="G44" s="88"/>
      <c r="H44" s="88"/>
      <c r="I44" s="88"/>
      <c r="J44" s="88"/>
      <c r="K44" s="88">
        <v>0</v>
      </c>
      <c r="L44" s="88">
        <v>1000</v>
      </c>
      <c r="M44" s="88">
        <f t="shared" si="34"/>
        <v>1000</v>
      </c>
      <c r="N44" s="88">
        <v>-200</v>
      </c>
      <c r="O44" s="88">
        <f t="shared" si="35"/>
        <v>800</v>
      </c>
      <c r="P44" s="88"/>
      <c r="Q44" s="88">
        <f t="shared" si="36"/>
        <v>800</v>
      </c>
      <c r="R44" s="88">
        <v>-245</v>
      </c>
      <c r="S44" s="88">
        <f t="shared" si="37"/>
        <v>555</v>
      </c>
      <c r="T44" s="88"/>
      <c r="U44" s="88">
        <f t="shared" si="38"/>
        <v>555</v>
      </c>
      <c r="V44" s="88"/>
      <c r="W44" s="88">
        <f t="shared" si="39"/>
        <v>555</v>
      </c>
      <c r="X44" s="88"/>
      <c r="Y44" s="88">
        <f t="shared" si="40"/>
        <v>555</v>
      </c>
      <c r="Z44" s="88"/>
      <c r="AA44" s="88">
        <f t="shared" si="41"/>
        <v>555</v>
      </c>
      <c r="AB44" s="88"/>
      <c r="AC44" s="88">
        <f t="shared" si="42"/>
        <v>555</v>
      </c>
    </row>
    <row r="45" spans="1:29" s="23" customFormat="1" ht="19.5" customHeight="1">
      <c r="A45" s="46"/>
      <c r="B45" s="70"/>
      <c r="C45" s="71">
        <v>4300</v>
      </c>
      <c r="D45" s="37" t="s">
        <v>78</v>
      </c>
      <c r="E45" s="88"/>
      <c r="F45" s="88"/>
      <c r="G45" s="88"/>
      <c r="H45" s="88"/>
      <c r="I45" s="88"/>
      <c r="J45" s="88"/>
      <c r="K45" s="88">
        <v>0</v>
      </c>
      <c r="L45" s="88">
        <v>400</v>
      </c>
      <c r="M45" s="88">
        <f t="shared" si="34"/>
        <v>400</v>
      </c>
      <c r="N45" s="88">
        <v>200</v>
      </c>
      <c r="O45" s="88">
        <f t="shared" si="35"/>
        <v>600</v>
      </c>
      <c r="P45" s="88">
        <v>24</v>
      </c>
      <c r="Q45" s="88">
        <f t="shared" si="36"/>
        <v>624</v>
      </c>
      <c r="R45" s="88">
        <v>-126</v>
      </c>
      <c r="S45" s="88">
        <f t="shared" si="37"/>
        <v>498</v>
      </c>
      <c r="T45" s="88"/>
      <c r="U45" s="88">
        <f t="shared" si="38"/>
        <v>498</v>
      </c>
      <c r="V45" s="88"/>
      <c r="W45" s="88">
        <f t="shared" si="39"/>
        <v>498</v>
      </c>
      <c r="X45" s="88"/>
      <c r="Y45" s="88">
        <f t="shared" si="40"/>
        <v>498</v>
      </c>
      <c r="Z45" s="88"/>
      <c r="AA45" s="88">
        <f t="shared" si="41"/>
        <v>498</v>
      </c>
      <c r="AB45" s="88"/>
      <c r="AC45" s="88">
        <f t="shared" si="42"/>
        <v>498</v>
      </c>
    </row>
    <row r="46" spans="1:29" s="23" customFormat="1" ht="19.5" customHeight="1">
      <c r="A46" s="46"/>
      <c r="B46" s="70"/>
      <c r="C46" s="71">
        <v>4410</v>
      </c>
      <c r="D46" s="37" t="s">
        <v>89</v>
      </c>
      <c r="E46" s="88"/>
      <c r="F46" s="88"/>
      <c r="G46" s="88"/>
      <c r="H46" s="88"/>
      <c r="I46" s="88"/>
      <c r="J46" s="88"/>
      <c r="K46" s="88">
        <v>0</v>
      </c>
      <c r="L46" s="88">
        <v>1300</v>
      </c>
      <c r="M46" s="88">
        <f t="shared" si="34"/>
        <v>1300</v>
      </c>
      <c r="N46" s="88"/>
      <c r="O46" s="88">
        <f t="shared" si="35"/>
        <v>1300</v>
      </c>
      <c r="P46" s="88">
        <v>1100</v>
      </c>
      <c r="Q46" s="88">
        <f t="shared" si="36"/>
        <v>2400</v>
      </c>
      <c r="R46" s="88">
        <v>1386</v>
      </c>
      <c r="S46" s="88">
        <f t="shared" si="37"/>
        <v>3786</v>
      </c>
      <c r="T46" s="88">
        <v>-940</v>
      </c>
      <c r="U46" s="88">
        <f t="shared" si="38"/>
        <v>2846</v>
      </c>
      <c r="V46" s="88"/>
      <c r="W46" s="88">
        <f t="shared" si="39"/>
        <v>2846</v>
      </c>
      <c r="X46" s="88"/>
      <c r="Y46" s="88">
        <f t="shared" si="40"/>
        <v>2846</v>
      </c>
      <c r="Z46" s="88"/>
      <c r="AA46" s="88">
        <f t="shared" si="41"/>
        <v>2846</v>
      </c>
      <c r="AB46" s="88"/>
      <c r="AC46" s="88">
        <f t="shared" si="42"/>
        <v>2846</v>
      </c>
    </row>
    <row r="47" spans="1:29" s="23" customFormat="1" ht="22.5">
      <c r="A47" s="46"/>
      <c r="B47" s="70"/>
      <c r="C47" s="71">
        <v>4700</v>
      </c>
      <c r="D47" s="37" t="s">
        <v>234</v>
      </c>
      <c r="E47" s="88"/>
      <c r="F47" s="88"/>
      <c r="G47" s="88"/>
      <c r="H47" s="88"/>
      <c r="I47" s="88"/>
      <c r="J47" s="88"/>
      <c r="K47" s="88">
        <v>0</v>
      </c>
      <c r="L47" s="88">
        <v>372</v>
      </c>
      <c r="M47" s="88">
        <f t="shared" si="34"/>
        <v>372</v>
      </c>
      <c r="N47" s="88"/>
      <c r="O47" s="88">
        <f t="shared" si="35"/>
        <v>372</v>
      </c>
      <c r="P47" s="88"/>
      <c r="Q47" s="88">
        <f t="shared" si="36"/>
        <v>372</v>
      </c>
      <c r="R47" s="88"/>
      <c r="S47" s="88">
        <f t="shared" si="37"/>
        <v>372</v>
      </c>
      <c r="T47" s="88"/>
      <c r="U47" s="88">
        <f t="shared" si="38"/>
        <v>372</v>
      </c>
      <c r="V47" s="88"/>
      <c r="W47" s="88">
        <f t="shared" si="39"/>
        <v>372</v>
      </c>
      <c r="X47" s="88"/>
      <c r="Y47" s="88">
        <f t="shared" si="40"/>
        <v>372</v>
      </c>
      <c r="Z47" s="88"/>
      <c r="AA47" s="88">
        <f t="shared" si="41"/>
        <v>372</v>
      </c>
      <c r="AB47" s="88"/>
      <c r="AC47" s="88">
        <f t="shared" si="42"/>
        <v>372</v>
      </c>
    </row>
    <row r="48" spans="1:29" s="23" customFormat="1" ht="39.75" customHeight="1">
      <c r="A48" s="46"/>
      <c r="B48" s="70"/>
      <c r="C48" s="71">
        <v>4740</v>
      </c>
      <c r="D48" s="37" t="s">
        <v>249</v>
      </c>
      <c r="E48" s="88"/>
      <c r="F48" s="88"/>
      <c r="G48" s="88"/>
      <c r="H48" s="88"/>
      <c r="I48" s="88"/>
      <c r="J48" s="88"/>
      <c r="K48" s="88">
        <v>0</v>
      </c>
      <c r="L48" s="88">
        <v>600</v>
      </c>
      <c r="M48" s="88">
        <f t="shared" si="34"/>
        <v>600</v>
      </c>
      <c r="N48" s="88"/>
      <c r="O48" s="88">
        <f t="shared" si="35"/>
        <v>600</v>
      </c>
      <c r="P48" s="88">
        <v>200</v>
      </c>
      <c r="Q48" s="88">
        <f t="shared" si="36"/>
        <v>800</v>
      </c>
      <c r="R48" s="88">
        <v>-371</v>
      </c>
      <c r="S48" s="88">
        <f t="shared" si="37"/>
        <v>429</v>
      </c>
      <c r="T48" s="88"/>
      <c r="U48" s="88">
        <f t="shared" si="38"/>
        <v>429</v>
      </c>
      <c r="V48" s="88"/>
      <c r="W48" s="88">
        <f t="shared" si="39"/>
        <v>429</v>
      </c>
      <c r="X48" s="88"/>
      <c r="Y48" s="88">
        <f t="shared" si="40"/>
        <v>429</v>
      </c>
      <c r="Z48" s="88"/>
      <c r="AA48" s="88">
        <f t="shared" si="41"/>
        <v>429</v>
      </c>
      <c r="AB48" s="88"/>
      <c r="AC48" s="88">
        <f t="shared" si="42"/>
        <v>429</v>
      </c>
    </row>
    <row r="49" spans="1:29" s="23" customFormat="1" ht="22.5">
      <c r="A49" s="46"/>
      <c r="B49" s="70"/>
      <c r="C49" s="71">
        <v>4750</v>
      </c>
      <c r="D49" s="37" t="s">
        <v>393</v>
      </c>
      <c r="E49" s="88"/>
      <c r="F49" s="88"/>
      <c r="G49" s="88"/>
      <c r="H49" s="88"/>
      <c r="I49" s="88"/>
      <c r="J49" s="88"/>
      <c r="K49" s="88">
        <v>0</v>
      </c>
      <c r="L49" s="88">
        <v>700</v>
      </c>
      <c r="M49" s="88">
        <f t="shared" si="34"/>
        <v>700</v>
      </c>
      <c r="N49" s="88">
        <v>200</v>
      </c>
      <c r="O49" s="88">
        <f t="shared" si="35"/>
        <v>900</v>
      </c>
      <c r="P49" s="88">
        <v>500</v>
      </c>
      <c r="Q49" s="88">
        <f t="shared" si="36"/>
        <v>1400</v>
      </c>
      <c r="R49" s="88">
        <v>-123</v>
      </c>
      <c r="S49" s="88">
        <f t="shared" si="37"/>
        <v>1277</v>
      </c>
      <c r="T49" s="88"/>
      <c r="U49" s="88">
        <f t="shared" si="38"/>
        <v>1277</v>
      </c>
      <c r="V49" s="88"/>
      <c r="W49" s="88">
        <f t="shared" si="39"/>
        <v>1277</v>
      </c>
      <c r="X49" s="88"/>
      <c r="Y49" s="88">
        <f t="shared" si="40"/>
        <v>1277</v>
      </c>
      <c r="Z49" s="88"/>
      <c r="AA49" s="88">
        <f t="shared" si="41"/>
        <v>1277</v>
      </c>
      <c r="AB49" s="88"/>
      <c r="AC49" s="88">
        <f t="shared" si="42"/>
        <v>1277</v>
      </c>
    </row>
    <row r="50" spans="1:29" s="23" customFormat="1" ht="22.5">
      <c r="A50" s="46"/>
      <c r="B50" s="70"/>
      <c r="C50" s="71">
        <v>4780</v>
      </c>
      <c r="D50" s="37" t="s">
        <v>385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>
        <v>0</v>
      </c>
      <c r="P50" s="88">
        <v>7</v>
      </c>
      <c r="Q50" s="88">
        <f t="shared" si="36"/>
        <v>7</v>
      </c>
      <c r="R50" s="88"/>
      <c r="S50" s="88">
        <f t="shared" si="37"/>
        <v>7</v>
      </c>
      <c r="T50" s="88"/>
      <c r="U50" s="88">
        <f t="shared" si="38"/>
        <v>7</v>
      </c>
      <c r="V50" s="88"/>
      <c r="W50" s="88">
        <f t="shared" si="39"/>
        <v>7</v>
      </c>
      <c r="X50" s="88"/>
      <c r="Y50" s="88">
        <f t="shared" si="40"/>
        <v>7</v>
      </c>
      <c r="Z50" s="88"/>
      <c r="AA50" s="88">
        <f t="shared" si="41"/>
        <v>7</v>
      </c>
      <c r="AB50" s="88"/>
      <c r="AC50" s="88">
        <f t="shared" si="42"/>
        <v>7</v>
      </c>
    </row>
    <row r="51" spans="1:29" s="23" customFormat="1" ht="56.25">
      <c r="A51" s="46"/>
      <c r="B51" s="70">
        <v>75109</v>
      </c>
      <c r="C51" s="71"/>
      <c r="D51" s="74" t="s">
        <v>464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>
        <f>SUM(Y52:Y63)</f>
        <v>0</v>
      </c>
      <c r="Z51" s="88">
        <f>SUM(Z52:Z63)</f>
        <v>85887</v>
      </c>
      <c r="AA51" s="88">
        <f>SUM(AA52:AA63)</f>
        <v>85887</v>
      </c>
      <c r="AB51" s="88">
        <f>SUM(AB52:AB63)</f>
        <v>0</v>
      </c>
      <c r="AC51" s="88">
        <f>SUM(AC52:AC63)</f>
        <v>85887</v>
      </c>
    </row>
    <row r="52" spans="1:29" s="163" customFormat="1" ht="24.75" customHeight="1">
      <c r="A52" s="188"/>
      <c r="B52" s="236"/>
      <c r="C52" s="83">
        <v>3030</v>
      </c>
      <c r="D52" s="37" t="s">
        <v>88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78">
        <v>0</v>
      </c>
      <c r="Z52" s="78">
        <v>51080</v>
      </c>
      <c r="AA52" s="78">
        <f>SUM(Y52:Z52)</f>
        <v>51080</v>
      </c>
      <c r="AB52" s="78"/>
      <c r="AC52" s="78">
        <f>SUM(AA52:AB52)</f>
        <v>51080</v>
      </c>
    </row>
    <row r="53" spans="1:29" s="163" customFormat="1" ht="24.75" customHeight="1">
      <c r="A53" s="188"/>
      <c r="B53" s="236"/>
      <c r="C53" s="83">
        <v>4110</v>
      </c>
      <c r="D53" s="37" t="s">
        <v>85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78">
        <v>0</v>
      </c>
      <c r="Z53" s="78">
        <v>609</v>
      </c>
      <c r="AA53" s="78">
        <f>SUM(Y53:Z53)</f>
        <v>609</v>
      </c>
      <c r="AB53" s="78"/>
      <c r="AC53" s="78">
        <f>SUM(AA53:AB53)</f>
        <v>609</v>
      </c>
    </row>
    <row r="54" spans="1:29" s="163" customFormat="1" ht="24.75" customHeight="1">
      <c r="A54" s="188"/>
      <c r="B54" s="236"/>
      <c r="C54" s="83">
        <v>4120</v>
      </c>
      <c r="D54" s="37" t="s">
        <v>217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78">
        <v>0</v>
      </c>
      <c r="Z54" s="78">
        <v>98</v>
      </c>
      <c r="AA54" s="78">
        <f>SUM(Y54:Z54)</f>
        <v>98</v>
      </c>
      <c r="AB54" s="78"/>
      <c r="AC54" s="78">
        <f>SUM(AA54:AB54)</f>
        <v>98</v>
      </c>
    </row>
    <row r="55" spans="1:29" s="163" customFormat="1" ht="24.75" customHeight="1">
      <c r="A55" s="188"/>
      <c r="B55" s="236"/>
      <c r="C55" s="83">
        <v>4170</v>
      </c>
      <c r="D55" s="37" t="s">
        <v>189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78">
        <v>0</v>
      </c>
      <c r="Z55" s="78">
        <v>10840</v>
      </c>
      <c r="AA55" s="78">
        <f>SUM(Y55:Z55)</f>
        <v>10840</v>
      </c>
      <c r="AB55" s="78"/>
      <c r="AC55" s="78">
        <f>SUM(AA55:AB55)</f>
        <v>10840</v>
      </c>
    </row>
    <row r="56" spans="1:29" s="163" customFormat="1" ht="24.75" customHeight="1">
      <c r="A56" s="188"/>
      <c r="B56" s="236"/>
      <c r="C56" s="83">
        <v>4210</v>
      </c>
      <c r="D56" s="37" t="s">
        <v>91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78">
        <v>0</v>
      </c>
      <c r="Z56" s="78">
        <v>10000</v>
      </c>
      <c r="AA56" s="78">
        <f>SUM(Y56:Z56)</f>
        <v>10000</v>
      </c>
      <c r="AB56" s="78">
        <v>-442</v>
      </c>
      <c r="AC56" s="78">
        <f>SUM(AA56:AB56)</f>
        <v>9558</v>
      </c>
    </row>
    <row r="57" spans="1:29" s="163" customFormat="1" ht="24.75" customHeight="1">
      <c r="A57" s="188"/>
      <c r="B57" s="236"/>
      <c r="C57" s="83">
        <v>4270</v>
      </c>
      <c r="D57" s="37" t="s">
        <v>77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78">
        <v>0</v>
      </c>
      <c r="Z57" s="78">
        <v>350</v>
      </c>
      <c r="AA57" s="78">
        <f aca="true" t="shared" si="43" ref="AA57:AA63">SUM(Y57:Z57)</f>
        <v>350</v>
      </c>
      <c r="AB57" s="78">
        <v>372</v>
      </c>
      <c r="AC57" s="78">
        <f aca="true" t="shared" si="44" ref="AC57:AC63">SUM(AA57:AB57)</f>
        <v>722</v>
      </c>
    </row>
    <row r="58" spans="1:29" s="163" customFormat="1" ht="24.75" customHeight="1">
      <c r="A58" s="188"/>
      <c r="B58" s="236"/>
      <c r="C58" s="83">
        <v>4300</v>
      </c>
      <c r="D58" s="37" t="s">
        <v>78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78">
        <v>0</v>
      </c>
      <c r="Z58" s="78">
        <v>7500</v>
      </c>
      <c r="AA58" s="78">
        <f t="shared" si="43"/>
        <v>7500</v>
      </c>
      <c r="AB58" s="78"/>
      <c r="AC58" s="78">
        <f t="shared" si="44"/>
        <v>7500</v>
      </c>
    </row>
    <row r="59" spans="1:29" s="163" customFormat="1" ht="24.75" customHeight="1">
      <c r="A59" s="188"/>
      <c r="B59" s="236"/>
      <c r="C59" s="83">
        <v>4410</v>
      </c>
      <c r="D59" s="37" t="s">
        <v>89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78">
        <v>0</v>
      </c>
      <c r="Z59" s="78">
        <v>3000</v>
      </c>
      <c r="AA59" s="78">
        <f t="shared" si="43"/>
        <v>3000</v>
      </c>
      <c r="AB59" s="78"/>
      <c r="AC59" s="78">
        <f t="shared" si="44"/>
        <v>3000</v>
      </c>
    </row>
    <row r="60" spans="1:29" s="163" customFormat="1" ht="24.75" customHeight="1">
      <c r="A60" s="188"/>
      <c r="B60" s="236"/>
      <c r="C60" s="83">
        <v>4700</v>
      </c>
      <c r="D60" s="37" t="s">
        <v>234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78">
        <v>0</v>
      </c>
      <c r="Z60" s="78">
        <v>300</v>
      </c>
      <c r="AA60" s="78">
        <f t="shared" si="43"/>
        <v>300</v>
      </c>
      <c r="AB60" s="78">
        <v>-114</v>
      </c>
      <c r="AC60" s="78">
        <f t="shared" si="44"/>
        <v>186</v>
      </c>
    </row>
    <row r="61" spans="1:29" s="163" customFormat="1" ht="24.75" customHeight="1">
      <c r="A61" s="188"/>
      <c r="B61" s="236"/>
      <c r="C61" s="83">
        <v>4740</v>
      </c>
      <c r="D61" s="37" t="s">
        <v>249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78">
        <v>0</v>
      </c>
      <c r="Z61" s="78">
        <v>800</v>
      </c>
      <c r="AA61" s="78">
        <f t="shared" si="43"/>
        <v>800</v>
      </c>
      <c r="AB61" s="78">
        <v>-134</v>
      </c>
      <c r="AC61" s="78">
        <f t="shared" si="44"/>
        <v>666</v>
      </c>
    </row>
    <row r="62" spans="1:29" s="163" customFormat="1" ht="24.75" customHeight="1">
      <c r="A62" s="188"/>
      <c r="B62" s="236"/>
      <c r="C62" s="83">
        <v>4750</v>
      </c>
      <c r="D62" s="37" t="s">
        <v>393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78">
        <v>0</v>
      </c>
      <c r="Z62" s="78">
        <v>1300</v>
      </c>
      <c r="AA62" s="78">
        <f t="shared" si="43"/>
        <v>1300</v>
      </c>
      <c r="AB62" s="78">
        <v>318</v>
      </c>
      <c r="AC62" s="78">
        <f t="shared" si="44"/>
        <v>1618</v>
      </c>
    </row>
    <row r="63" spans="1:29" s="163" customFormat="1" ht="24.75" customHeight="1">
      <c r="A63" s="188"/>
      <c r="B63" s="236"/>
      <c r="C63" s="83">
        <v>4780</v>
      </c>
      <c r="D63" s="37" t="s">
        <v>385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78">
        <v>0</v>
      </c>
      <c r="Z63" s="78">
        <v>10</v>
      </c>
      <c r="AA63" s="78">
        <f t="shared" si="43"/>
        <v>10</v>
      </c>
      <c r="AB63" s="78"/>
      <c r="AC63" s="78">
        <f t="shared" si="44"/>
        <v>10</v>
      </c>
    </row>
    <row r="64" spans="1:29" s="148" customFormat="1" ht="21" customHeight="1">
      <c r="A64" s="158">
        <v>801</v>
      </c>
      <c r="B64" s="177"/>
      <c r="C64" s="220"/>
      <c r="D64" s="209" t="s">
        <v>109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>
        <f aca="true" t="shared" si="45" ref="U64:AA64">SUM(U65,U67)</f>
        <v>0</v>
      </c>
      <c r="V64" s="147">
        <f t="shared" si="45"/>
        <v>76630</v>
      </c>
      <c r="W64" s="147">
        <f t="shared" si="45"/>
        <v>76630</v>
      </c>
      <c r="X64" s="147">
        <f t="shared" si="45"/>
        <v>0</v>
      </c>
      <c r="Y64" s="147">
        <f t="shared" si="45"/>
        <v>76630</v>
      </c>
      <c r="Z64" s="147">
        <f t="shared" si="45"/>
        <v>0</v>
      </c>
      <c r="AA64" s="147">
        <f t="shared" si="45"/>
        <v>76630</v>
      </c>
      <c r="AB64" s="147">
        <f>SUM(AB65,AB67)</f>
        <v>0</v>
      </c>
      <c r="AC64" s="147">
        <f>SUM(AC65,AC67)</f>
        <v>76630</v>
      </c>
    </row>
    <row r="65" spans="1:29" s="23" customFormat="1" ht="21" customHeight="1">
      <c r="A65" s="46"/>
      <c r="B65" s="70">
        <v>80101</v>
      </c>
      <c r="C65" s="71"/>
      <c r="D65" s="63" t="s">
        <v>50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>
        <f aca="true" t="shared" si="46" ref="U65:AC65">SUM(U66)</f>
        <v>0</v>
      </c>
      <c r="V65" s="88">
        <f t="shared" si="46"/>
        <v>39330</v>
      </c>
      <c r="W65" s="88">
        <f t="shared" si="46"/>
        <v>39330</v>
      </c>
      <c r="X65" s="88">
        <f t="shared" si="46"/>
        <v>0</v>
      </c>
      <c r="Y65" s="88">
        <f t="shared" si="46"/>
        <v>39330</v>
      </c>
      <c r="Z65" s="88">
        <f t="shared" si="46"/>
        <v>0</v>
      </c>
      <c r="AA65" s="88">
        <f t="shared" si="46"/>
        <v>39330</v>
      </c>
      <c r="AB65" s="88">
        <f t="shared" si="46"/>
        <v>0</v>
      </c>
      <c r="AC65" s="88">
        <f t="shared" si="46"/>
        <v>39330</v>
      </c>
    </row>
    <row r="66" spans="1:29" s="23" customFormat="1" ht="21" customHeight="1">
      <c r="A66" s="46"/>
      <c r="B66" s="70"/>
      <c r="C66" s="71">
        <v>4300</v>
      </c>
      <c r="D66" s="37" t="s">
        <v>78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>
        <v>0</v>
      </c>
      <c r="V66" s="88">
        <v>39330</v>
      </c>
      <c r="W66" s="88">
        <f>SUM(U66:V66)</f>
        <v>39330</v>
      </c>
      <c r="X66" s="88"/>
      <c r="Y66" s="88">
        <f>SUM(W66:X66)</f>
        <v>39330</v>
      </c>
      <c r="Z66" s="88"/>
      <c r="AA66" s="88">
        <f>SUM(Y66:Z66)</f>
        <v>39330</v>
      </c>
      <c r="AB66" s="88"/>
      <c r="AC66" s="88">
        <f>SUM(AA66:AB66)</f>
        <v>39330</v>
      </c>
    </row>
    <row r="67" spans="1:29" s="23" customFormat="1" ht="20.25" customHeight="1">
      <c r="A67" s="46"/>
      <c r="B67" s="70">
        <v>80110</v>
      </c>
      <c r="C67" s="71"/>
      <c r="D67" s="63" t="s">
        <v>51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>
        <f aca="true" t="shared" si="47" ref="U67:AC67">SUM(U68)</f>
        <v>0</v>
      </c>
      <c r="V67" s="88">
        <f t="shared" si="47"/>
        <v>37300</v>
      </c>
      <c r="W67" s="88">
        <f t="shared" si="47"/>
        <v>37300</v>
      </c>
      <c r="X67" s="88">
        <f t="shared" si="47"/>
        <v>0</v>
      </c>
      <c r="Y67" s="88">
        <f t="shared" si="47"/>
        <v>37300</v>
      </c>
      <c r="Z67" s="88">
        <f t="shared" si="47"/>
        <v>0</v>
      </c>
      <c r="AA67" s="88">
        <f t="shared" si="47"/>
        <v>37300</v>
      </c>
      <c r="AB67" s="88">
        <f t="shared" si="47"/>
        <v>0</v>
      </c>
      <c r="AC67" s="88">
        <f t="shared" si="47"/>
        <v>37300</v>
      </c>
    </row>
    <row r="68" spans="1:29" s="23" customFormat="1" ht="21.75" customHeight="1">
      <c r="A68" s="46"/>
      <c r="B68" s="70"/>
      <c r="C68" s="71">
        <v>4300</v>
      </c>
      <c r="D68" s="37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>
        <v>0</v>
      </c>
      <c r="V68" s="88">
        <v>37300</v>
      </c>
      <c r="W68" s="88">
        <f>SUM(U68:V68)</f>
        <v>37300</v>
      </c>
      <c r="X68" s="88"/>
      <c r="Y68" s="88">
        <f>SUM(W68:X68)</f>
        <v>37300</v>
      </c>
      <c r="Z68" s="88"/>
      <c r="AA68" s="88">
        <f>SUM(Y68:Z68)</f>
        <v>37300</v>
      </c>
      <c r="AB68" s="88"/>
      <c r="AC68" s="88">
        <f>SUM(AA68:AB68)</f>
        <v>37300</v>
      </c>
    </row>
    <row r="69" spans="1:213" s="23" customFormat="1" ht="21" customHeight="1">
      <c r="A69" s="30">
        <v>852</v>
      </c>
      <c r="B69" s="3"/>
      <c r="C69" s="19"/>
      <c r="D69" s="29" t="s">
        <v>184</v>
      </c>
      <c r="E69" s="40">
        <f>SUM(E70,E77,)</f>
        <v>6563300</v>
      </c>
      <c r="F69" s="40">
        <f>SUM(F70,F77,)</f>
        <v>-73</v>
      </c>
      <c r="G69" s="40">
        <f aca="true" t="shared" si="48" ref="G69:M69">SUM(G70,G77,G79)</f>
        <v>6563227</v>
      </c>
      <c r="H69" s="40">
        <f t="shared" si="48"/>
        <v>5500</v>
      </c>
      <c r="I69" s="40">
        <f t="shared" si="48"/>
        <v>6568727</v>
      </c>
      <c r="J69" s="40">
        <f t="shared" si="48"/>
        <v>0</v>
      </c>
      <c r="K69" s="40">
        <f t="shared" si="48"/>
        <v>6568727</v>
      </c>
      <c r="L69" s="40">
        <f t="shared" si="48"/>
        <v>0</v>
      </c>
      <c r="M69" s="40">
        <f t="shared" si="48"/>
        <v>6568727</v>
      </c>
      <c r="N69" s="40">
        <f aca="true" t="shared" si="49" ref="N69:S69">SUM(N70,N77,N79)</f>
        <v>0</v>
      </c>
      <c r="O69" s="40">
        <f t="shared" si="49"/>
        <v>6568727</v>
      </c>
      <c r="P69" s="40">
        <f t="shared" si="49"/>
        <v>0</v>
      </c>
      <c r="Q69" s="40">
        <f t="shared" si="49"/>
        <v>6568727</v>
      </c>
      <c r="R69" s="40">
        <f t="shared" si="49"/>
        <v>3673</v>
      </c>
      <c r="S69" s="40">
        <f t="shared" si="49"/>
        <v>6572400</v>
      </c>
      <c r="T69" s="40">
        <f aca="true" t="shared" si="50" ref="T69:Y69">SUM(T70,T77,T79)</f>
        <v>4000</v>
      </c>
      <c r="U69" s="40">
        <f t="shared" si="50"/>
        <v>6576400</v>
      </c>
      <c r="V69" s="40">
        <f t="shared" si="50"/>
        <v>0</v>
      </c>
      <c r="W69" s="40">
        <f t="shared" si="50"/>
        <v>6576400</v>
      </c>
      <c r="X69" s="40">
        <f t="shared" si="50"/>
        <v>0</v>
      </c>
      <c r="Y69" s="40">
        <f t="shared" si="50"/>
        <v>6576400</v>
      </c>
      <c r="Z69" s="40">
        <f>SUM(Z70,Z77,Z79)</f>
        <v>5883</v>
      </c>
      <c r="AA69" s="40">
        <f>SUM(AA70,AA77,AA79)</f>
        <v>6582283</v>
      </c>
      <c r="AB69" s="40">
        <f>SUM(AB70,AB77,AB79)</f>
        <v>101000</v>
      </c>
      <c r="AC69" s="40">
        <f>SUM(AC70,AC77,AC79)</f>
        <v>6683283</v>
      </c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</row>
    <row r="70" spans="1:213" s="23" customFormat="1" ht="46.5" customHeight="1">
      <c r="A70" s="93"/>
      <c r="B70" s="46">
        <v>85212</v>
      </c>
      <c r="C70" s="76"/>
      <c r="D70" s="74" t="s">
        <v>252</v>
      </c>
      <c r="E70" s="88">
        <f aca="true" t="shared" si="51" ref="E70:K70">SUM(E71:E76)</f>
        <v>6551300</v>
      </c>
      <c r="F70" s="88">
        <f t="shared" si="51"/>
        <v>0</v>
      </c>
      <c r="G70" s="88">
        <f t="shared" si="51"/>
        <v>6551300</v>
      </c>
      <c r="H70" s="88">
        <f t="shared" si="51"/>
        <v>0</v>
      </c>
      <c r="I70" s="88">
        <f t="shared" si="51"/>
        <v>6551300</v>
      </c>
      <c r="J70" s="88">
        <f t="shared" si="51"/>
        <v>0</v>
      </c>
      <c r="K70" s="88">
        <f t="shared" si="51"/>
        <v>6551300</v>
      </c>
      <c r="L70" s="88">
        <f aca="true" t="shared" si="52" ref="L70:Q70">SUM(L71:L76)</f>
        <v>0</v>
      </c>
      <c r="M70" s="88">
        <f t="shared" si="52"/>
        <v>6551300</v>
      </c>
      <c r="N70" s="88">
        <f t="shared" si="52"/>
        <v>0</v>
      </c>
      <c r="O70" s="88">
        <f t="shared" si="52"/>
        <v>6551300</v>
      </c>
      <c r="P70" s="88">
        <f t="shared" si="52"/>
        <v>0</v>
      </c>
      <c r="Q70" s="88">
        <f t="shared" si="52"/>
        <v>6551300</v>
      </c>
      <c r="R70" s="88">
        <f aca="true" t="shared" si="53" ref="R70:W70">SUM(R71:R76)</f>
        <v>0</v>
      </c>
      <c r="S70" s="88">
        <f t="shared" si="53"/>
        <v>6551300</v>
      </c>
      <c r="T70" s="88">
        <f t="shared" si="53"/>
        <v>0</v>
      </c>
      <c r="U70" s="88">
        <f t="shared" si="53"/>
        <v>6551300</v>
      </c>
      <c r="V70" s="88">
        <f t="shared" si="53"/>
        <v>0</v>
      </c>
      <c r="W70" s="88">
        <f t="shared" si="53"/>
        <v>6551300</v>
      </c>
      <c r="X70" s="88">
        <f aca="true" t="shared" si="54" ref="X70:AC70">SUM(X71:X76)</f>
        <v>0</v>
      </c>
      <c r="Y70" s="88">
        <f t="shared" si="54"/>
        <v>6551300</v>
      </c>
      <c r="Z70" s="88">
        <f t="shared" si="54"/>
        <v>0</v>
      </c>
      <c r="AA70" s="88">
        <f t="shared" si="54"/>
        <v>6551300</v>
      </c>
      <c r="AB70" s="88">
        <f t="shared" si="54"/>
        <v>100000</v>
      </c>
      <c r="AC70" s="88">
        <f t="shared" si="54"/>
        <v>6651300</v>
      </c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</row>
    <row r="71" spans="1:213" s="23" customFormat="1" ht="21" customHeight="1">
      <c r="A71" s="93"/>
      <c r="B71" s="46"/>
      <c r="C71" s="76">
        <v>3110</v>
      </c>
      <c r="D71" s="74" t="s">
        <v>111</v>
      </c>
      <c r="E71" s="68">
        <f>6354761-50000</f>
        <v>6304761</v>
      </c>
      <c r="F71" s="68"/>
      <c r="G71" s="68">
        <f aca="true" t="shared" si="55" ref="G71:G76">SUM(E71:F71)</f>
        <v>6304761</v>
      </c>
      <c r="H71" s="68"/>
      <c r="I71" s="68">
        <f aca="true" t="shared" si="56" ref="I71:I76">SUM(G71:H71)</f>
        <v>6304761</v>
      </c>
      <c r="J71" s="68"/>
      <c r="K71" s="68">
        <f aca="true" t="shared" si="57" ref="K71:K76">SUM(I71:J71)</f>
        <v>6304761</v>
      </c>
      <c r="L71" s="68"/>
      <c r="M71" s="68">
        <f aca="true" t="shared" si="58" ref="M71:M76">SUM(K71:L71)</f>
        <v>6304761</v>
      </c>
      <c r="N71" s="68"/>
      <c r="O71" s="68">
        <f aca="true" t="shared" si="59" ref="O71:O76">SUM(M71:N71)</f>
        <v>6304761</v>
      </c>
      <c r="P71" s="68"/>
      <c r="Q71" s="68">
        <f aca="true" t="shared" si="60" ref="Q71:Q76">SUM(O71:P71)</f>
        <v>6304761</v>
      </c>
      <c r="R71" s="68"/>
      <c r="S71" s="68">
        <f aca="true" t="shared" si="61" ref="S71:S76">SUM(Q71:R71)</f>
        <v>6304761</v>
      </c>
      <c r="T71" s="68"/>
      <c r="U71" s="68">
        <f aca="true" t="shared" si="62" ref="U71:U76">SUM(S71:T71)</f>
        <v>6304761</v>
      </c>
      <c r="V71" s="68"/>
      <c r="W71" s="68">
        <f aca="true" t="shared" si="63" ref="W71:W76">SUM(U71:V71)</f>
        <v>6304761</v>
      </c>
      <c r="X71" s="68"/>
      <c r="Y71" s="68">
        <f aca="true" t="shared" si="64" ref="Y71:Y76">SUM(W71:X71)</f>
        <v>6304761</v>
      </c>
      <c r="Z71" s="68"/>
      <c r="AA71" s="68">
        <f aca="true" t="shared" si="65" ref="AA71:AA76">SUM(Y71:Z71)</f>
        <v>6304761</v>
      </c>
      <c r="AB71" s="68">
        <v>85000</v>
      </c>
      <c r="AC71" s="68">
        <f aca="true" t="shared" si="66" ref="AC71:AC76">SUM(AA71:AB71)</f>
        <v>6389761</v>
      </c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</row>
    <row r="72" spans="1:213" s="23" customFormat="1" ht="21" customHeight="1">
      <c r="A72" s="93"/>
      <c r="B72" s="46"/>
      <c r="C72" s="46">
        <v>4010</v>
      </c>
      <c r="D72" s="12" t="s">
        <v>83</v>
      </c>
      <c r="E72" s="68">
        <v>147564</v>
      </c>
      <c r="F72" s="68"/>
      <c r="G72" s="68">
        <f t="shared" si="55"/>
        <v>147564</v>
      </c>
      <c r="H72" s="68"/>
      <c r="I72" s="68">
        <f t="shared" si="56"/>
        <v>147564</v>
      </c>
      <c r="J72" s="68">
        <v>-471</v>
      </c>
      <c r="K72" s="68">
        <f t="shared" si="57"/>
        <v>147093</v>
      </c>
      <c r="L72" s="68"/>
      <c r="M72" s="68">
        <f t="shared" si="58"/>
        <v>147093</v>
      </c>
      <c r="N72" s="68"/>
      <c r="O72" s="68">
        <f t="shared" si="59"/>
        <v>147093</v>
      </c>
      <c r="P72" s="68"/>
      <c r="Q72" s="68">
        <f t="shared" si="60"/>
        <v>147093</v>
      </c>
      <c r="R72" s="68"/>
      <c r="S72" s="68">
        <f t="shared" si="61"/>
        <v>147093</v>
      </c>
      <c r="T72" s="68"/>
      <c r="U72" s="68">
        <f t="shared" si="62"/>
        <v>147093</v>
      </c>
      <c r="V72" s="68"/>
      <c r="W72" s="68">
        <f t="shared" si="63"/>
        <v>147093</v>
      </c>
      <c r="X72" s="68"/>
      <c r="Y72" s="68">
        <f t="shared" si="64"/>
        <v>147093</v>
      </c>
      <c r="Z72" s="68"/>
      <c r="AA72" s="68">
        <f t="shared" si="65"/>
        <v>147093</v>
      </c>
      <c r="AB72" s="68">
        <v>3000</v>
      </c>
      <c r="AC72" s="68">
        <f t="shared" si="66"/>
        <v>150093</v>
      </c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</row>
    <row r="73" spans="1:213" s="23" customFormat="1" ht="23.25" customHeight="1">
      <c r="A73" s="93"/>
      <c r="B73" s="46"/>
      <c r="C73" s="46">
        <v>4040</v>
      </c>
      <c r="D73" s="12" t="s">
        <v>84</v>
      </c>
      <c r="E73" s="68">
        <v>15400</v>
      </c>
      <c r="F73" s="68"/>
      <c r="G73" s="68">
        <f t="shared" si="55"/>
        <v>15400</v>
      </c>
      <c r="H73" s="68"/>
      <c r="I73" s="68">
        <f t="shared" si="56"/>
        <v>15400</v>
      </c>
      <c r="J73" s="68">
        <v>-2094</v>
      </c>
      <c r="K73" s="68">
        <f t="shared" si="57"/>
        <v>13306</v>
      </c>
      <c r="L73" s="68"/>
      <c r="M73" s="68">
        <f t="shared" si="58"/>
        <v>13306</v>
      </c>
      <c r="N73" s="68"/>
      <c r="O73" s="68">
        <f t="shared" si="59"/>
        <v>13306</v>
      </c>
      <c r="P73" s="68"/>
      <c r="Q73" s="68">
        <f t="shared" si="60"/>
        <v>13306</v>
      </c>
      <c r="R73" s="68"/>
      <c r="S73" s="68">
        <f t="shared" si="61"/>
        <v>13306</v>
      </c>
      <c r="T73" s="68"/>
      <c r="U73" s="68">
        <f t="shared" si="62"/>
        <v>13306</v>
      </c>
      <c r="V73" s="68"/>
      <c r="W73" s="68">
        <f t="shared" si="63"/>
        <v>13306</v>
      </c>
      <c r="X73" s="68"/>
      <c r="Y73" s="68">
        <f t="shared" si="64"/>
        <v>13306</v>
      </c>
      <c r="Z73" s="68"/>
      <c r="AA73" s="68">
        <f t="shared" si="65"/>
        <v>13306</v>
      </c>
      <c r="AB73" s="68"/>
      <c r="AC73" s="68">
        <f t="shared" si="66"/>
        <v>13306</v>
      </c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</row>
    <row r="74" spans="1:213" s="23" customFormat="1" ht="21" customHeight="1">
      <c r="A74" s="93"/>
      <c r="B74" s="46"/>
      <c r="C74" s="46">
        <v>4110</v>
      </c>
      <c r="D74" s="12" t="s">
        <v>85</v>
      </c>
      <c r="E74" s="68">
        <f>24700+50000</f>
        <v>74700</v>
      </c>
      <c r="F74" s="68"/>
      <c r="G74" s="68">
        <f t="shared" si="55"/>
        <v>74700</v>
      </c>
      <c r="H74" s="68"/>
      <c r="I74" s="68">
        <f t="shared" si="56"/>
        <v>74700</v>
      </c>
      <c r="J74" s="68">
        <v>2865</v>
      </c>
      <c r="K74" s="68">
        <f t="shared" si="57"/>
        <v>77565</v>
      </c>
      <c r="L74" s="68">
        <v>-365</v>
      </c>
      <c r="M74" s="68">
        <f t="shared" si="58"/>
        <v>77200</v>
      </c>
      <c r="N74" s="68"/>
      <c r="O74" s="68">
        <f t="shared" si="59"/>
        <v>77200</v>
      </c>
      <c r="P74" s="68"/>
      <c r="Q74" s="68">
        <f t="shared" si="60"/>
        <v>77200</v>
      </c>
      <c r="R74" s="68"/>
      <c r="S74" s="68">
        <f t="shared" si="61"/>
        <v>77200</v>
      </c>
      <c r="T74" s="68"/>
      <c r="U74" s="68">
        <f t="shared" si="62"/>
        <v>77200</v>
      </c>
      <c r="V74" s="68"/>
      <c r="W74" s="68">
        <f t="shared" si="63"/>
        <v>77200</v>
      </c>
      <c r="X74" s="68"/>
      <c r="Y74" s="68">
        <f t="shared" si="64"/>
        <v>77200</v>
      </c>
      <c r="Z74" s="68"/>
      <c r="AA74" s="68">
        <f t="shared" si="65"/>
        <v>77200</v>
      </c>
      <c r="AB74" s="68">
        <v>12000</v>
      </c>
      <c r="AC74" s="68">
        <f t="shared" si="66"/>
        <v>89200</v>
      </c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</row>
    <row r="75" spans="1:213" s="23" customFormat="1" ht="21" customHeight="1">
      <c r="A75" s="93"/>
      <c r="B75" s="46"/>
      <c r="C75" s="46">
        <v>4120</v>
      </c>
      <c r="D75" s="12" t="s">
        <v>86</v>
      </c>
      <c r="E75" s="68">
        <v>4000</v>
      </c>
      <c r="F75" s="68"/>
      <c r="G75" s="68">
        <f t="shared" si="55"/>
        <v>4000</v>
      </c>
      <c r="H75" s="68"/>
      <c r="I75" s="68">
        <f t="shared" si="56"/>
        <v>4000</v>
      </c>
      <c r="J75" s="68">
        <v>-300</v>
      </c>
      <c r="K75" s="68">
        <f t="shared" si="57"/>
        <v>3700</v>
      </c>
      <c r="L75" s="68"/>
      <c r="M75" s="68">
        <f t="shared" si="58"/>
        <v>3700</v>
      </c>
      <c r="N75" s="68"/>
      <c r="O75" s="68">
        <f t="shared" si="59"/>
        <v>3700</v>
      </c>
      <c r="P75" s="68"/>
      <c r="Q75" s="68">
        <f t="shared" si="60"/>
        <v>3700</v>
      </c>
      <c r="R75" s="68"/>
      <c r="S75" s="68">
        <f t="shared" si="61"/>
        <v>3700</v>
      </c>
      <c r="T75" s="68"/>
      <c r="U75" s="68">
        <f t="shared" si="62"/>
        <v>3700</v>
      </c>
      <c r="V75" s="68"/>
      <c r="W75" s="68">
        <f t="shared" si="63"/>
        <v>3700</v>
      </c>
      <c r="X75" s="68"/>
      <c r="Y75" s="68">
        <f t="shared" si="64"/>
        <v>3700</v>
      </c>
      <c r="Z75" s="68"/>
      <c r="AA75" s="68">
        <f t="shared" si="65"/>
        <v>3700</v>
      </c>
      <c r="AB75" s="68"/>
      <c r="AC75" s="68">
        <f t="shared" si="66"/>
        <v>3700</v>
      </c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</row>
    <row r="76" spans="1:213" s="23" customFormat="1" ht="22.5">
      <c r="A76" s="93"/>
      <c r="B76" s="46"/>
      <c r="C76" s="46">
        <v>4440</v>
      </c>
      <c r="D76" s="12" t="s">
        <v>87</v>
      </c>
      <c r="E76" s="68">
        <v>4875</v>
      </c>
      <c r="F76" s="68"/>
      <c r="G76" s="68">
        <f t="shared" si="55"/>
        <v>4875</v>
      </c>
      <c r="H76" s="68"/>
      <c r="I76" s="68">
        <f t="shared" si="56"/>
        <v>4875</v>
      </c>
      <c r="J76" s="68"/>
      <c r="K76" s="68">
        <f t="shared" si="57"/>
        <v>4875</v>
      </c>
      <c r="L76" s="68">
        <v>365</v>
      </c>
      <c r="M76" s="68">
        <f t="shared" si="58"/>
        <v>5240</v>
      </c>
      <c r="N76" s="68"/>
      <c r="O76" s="68">
        <f t="shared" si="59"/>
        <v>5240</v>
      </c>
      <c r="P76" s="68"/>
      <c r="Q76" s="68">
        <f t="shared" si="60"/>
        <v>5240</v>
      </c>
      <c r="R76" s="68"/>
      <c r="S76" s="68">
        <f t="shared" si="61"/>
        <v>5240</v>
      </c>
      <c r="T76" s="68"/>
      <c r="U76" s="68">
        <f t="shared" si="62"/>
        <v>5240</v>
      </c>
      <c r="V76" s="68"/>
      <c r="W76" s="68">
        <f t="shared" si="63"/>
        <v>5240</v>
      </c>
      <c r="X76" s="68"/>
      <c r="Y76" s="68">
        <f t="shared" si="64"/>
        <v>5240</v>
      </c>
      <c r="Z76" s="68"/>
      <c r="AA76" s="68">
        <f t="shared" si="65"/>
        <v>5240</v>
      </c>
      <c r="AB76" s="68"/>
      <c r="AC76" s="68">
        <f t="shared" si="66"/>
        <v>5240</v>
      </c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</row>
    <row r="77" spans="1:213" s="23" customFormat="1" ht="78.75">
      <c r="A77" s="70"/>
      <c r="B77" s="46">
        <v>85213</v>
      </c>
      <c r="C77" s="77"/>
      <c r="D77" s="74" t="s">
        <v>324</v>
      </c>
      <c r="E77" s="88">
        <f aca="true" t="shared" si="67" ref="E77:AC77">SUM(E78)</f>
        <v>12000</v>
      </c>
      <c r="F77" s="88">
        <f t="shared" si="67"/>
        <v>-73</v>
      </c>
      <c r="G77" s="88">
        <f t="shared" si="67"/>
        <v>11927</v>
      </c>
      <c r="H77" s="88">
        <f t="shared" si="67"/>
        <v>0</v>
      </c>
      <c r="I77" s="88">
        <f t="shared" si="67"/>
        <v>11927</v>
      </c>
      <c r="J77" s="88">
        <f t="shared" si="67"/>
        <v>0</v>
      </c>
      <c r="K77" s="88">
        <f t="shared" si="67"/>
        <v>11927</v>
      </c>
      <c r="L77" s="88">
        <f t="shared" si="67"/>
        <v>0</v>
      </c>
      <c r="M77" s="88">
        <f t="shared" si="67"/>
        <v>11927</v>
      </c>
      <c r="N77" s="88">
        <f t="shared" si="67"/>
        <v>0</v>
      </c>
      <c r="O77" s="88">
        <f t="shared" si="67"/>
        <v>11927</v>
      </c>
      <c r="P77" s="88">
        <f t="shared" si="67"/>
        <v>0</v>
      </c>
      <c r="Q77" s="88">
        <f t="shared" si="67"/>
        <v>11927</v>
      </c>
      <c r="R77" s="88">
        <f t="shared" si="67"/>
        <v>3673</v>
      </c>
      <c r="S77" s="88">
        <f t="shared" si="67"/>
        <v>15600</v>
      </c>
      <c r="T77" s="88">
        <f t="shared" si="67"/>
        <v>0</v>
      </c>
      <c r="U77" s="88">
        <f t="shared" si="67"/>
        <v>15600</v>
      </c>
      <c r="V77" s="88">
        <f t="shared" si="67"/>
        <v>0</v>
      </c>
      <c r="W77" s="88">
        <f t="shared" si="67"/>
        <v>15600</v>
      </c>
      <c r="X77" s="88">
        <f t="shared" si="67"/>
        <v>0</v>
      </c>
      <c r="Y77" s="88">
        <f t="shared" si="67"/>
        <v>15600</v>
      </c>
      <c r="Z77" s="88">
        <f t="shared" si="67"/>
        <v>1400</v>
      </c>
      <c r="AA77" s="88">
        <f t="shared" si="67"/>
        <v>17000</v>
      </c>
      <c r="AB77" s="88">
        <f t="shared" si="67"/>
        <v>1000</v>
      </c>
      <c r="AC77" s="88">
        <f t="shared" si="67"/>
        <v>18000</v>
      </c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</row>
    <row r="78" spans="1:213" s="23" customFormat="1" ht="21" customHeight="1">
      <c r="A78" s="70"/>
      <c r="B78" s="46"/>
      <c r="C78" s="77">
        <v>4130</v>
      </c>
      <c r="D78" s="74" t="s">
        <v>119</v>
      </c>
      <c r="E78" s="88">
        <v>12000</v>
      </c>
      <c r="F78" s="88">
        <v>-73</v>
      </c>
      <c r="G78" s="88">
        <f>SUM(E78:F78)</f>
        <v>11927</v>
      </c>
      <c r="H78" s="88"/>
      <c r="I78" s="88">
        <f>SUM(G78:H78)</f>
        <v>11927</v>
      </c>
      <c r="J78" s="88"/>
      <c r="K78" s="88">
        <f>SUM(I78:J78)</f>
        <v>11927</v>
      </c>
      <c r="L78" s="88"/>
      <c r="M78" s="88">
        <f>SUM(K78:L78)</f>
        <v>11927</v>
      </c>
      <c r="N78" s="88"/>
      <c r="O78" s="88">
        <f>SUM(M78:N78)</f>
        <v>11927</v>
      </c>
      <c r="P78" s="88"/>
      <c r="Q78" s="88">
        <f>SUM(O78:P78)</f>
        <v>11927</v>
      </c>
      <c r="R78" s="88">
        <v>3673</v>
      </c>
      <c r="S78" s="88">
        <f>SUM(Q78:R78)</f>
        <v>15600</v>
      </c>
      <c r="T78" s="88"/>
      <c r="U78" s="88">
        <f>SUM(S78:T78)</f>
        <v>15600</v>
      </c>
      <c r="V78" s="88"/>
      <c r="W78" s="88">
        <f>SUM(U78:V78)</f>
        <v>15600</v>
      </c>
      <c r="X78" s="88"/>
      <c r="Y78" s="88">
        <f>SUM(W78:X78)</f>
        <v>15600</v>
      </c>
      <c r="Z78" s="88">
        <v>1400</v>
      </c>
      <c r="AA78" s="88">
        <f>SUM(Y78:Z78)</f>
        <v>17000</v>
      </c>
      <c r="AB78" s="88">
        <v>1000</v>
      </c>
      <c r="AC78" s="88">
        <f>SUM(AA78:AB78)</f>
        <v>18000</v>
      </c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</row>
    <row r="79" spans="1:213" s="23" customFormat="1" ht="21" customHeight="1">
      <c r="A79" s="70"/>
      <c r="B79" s="46">
        <v>85219</v>
      </c>
      <c r="C79" s="46"/>
      <c r="D79" s="37" t="s">
        <v>57</v>
      </c>
      <c r="E79" s="88"/>
      <c r="F79" s="88"/>
      <c r="G79" s="88">
        <f aca="true" t="shared" si="68" ref="G79:AC79">SUM(G80)</f>
        <v>0</v>
      </c>
      <c r="H79" s="88">
        <f t="shared" si="68"/>
        <v>5500</v>
      </c>
      <c r="I79" s="88">
        <f t="shared" si="68"/>
        <v>5500</v>
      </c>
      <c r="J79" s="88">
        <f t="shared" si="68"/>
        <v>0</v>
      </c>
      <c r="K79" s="88">
        <f t="shared" si="68"/>
        <v>5500</v>
      </c>
      <c r="L79" s="88">
        <f t="shared" si="68"/>
        <v>0</v>
      </c>
      <c r="M79" s="88">
        <f t="shared" si="68"/>
        <v>5500</v>
      </c>
      <c r="N79" s="88">
        <f t="shared" si="68"/>
        <v>0</v>
      </c>
      <c r="O79" s="88">
        <f t="shared" si="68"/>
        <v>5500</v>
      </c>
      <c r="P79" s="88">
        <f t="shared" si="68"/>
        <v>0</v>
      </c>
      <c r="Q79" s="88">
        <f t="shared" si="68"/>
        <v>5500</v>
      </c>
      <c r="R79" s="88">
        <f t="shared" si="68"/>
        <v>0</v>
      </c>
      <c r="S79" s="88">
        <f t="shared" si="68"/>
        <v>5500</v>
      </c>
      <c r="T79" s="88">
        <f t="shared" si="68"/>
        <v>4000</v>
      </c>
      <c r="U79" s="88">
        <f t="shared" si="68"/>
        <v>9500</v>
      </c>
      <c r="V79" s="88">
        <f t="shared" si="68"/>
        <v>0</v>
      </c>
      <c r="W79" s="88">
        <f t="shared" si="68"/>
        <v>9500</v>
      </c>
      <c r="X79" s="88">
        <f t="shared" si="68"/>
        <v>0</v>
      </c>
      <c r="Y79" s="88">
        <f t="shared" si="68"/>
        <v>9500</v>
      </c>
      <c r="Z79" s="88">
        <f t="shared" si="68"/>
        <v>4483</v>
      </c>
      <c r="AA79" s="88">
        <f t="shared" si="68"/>
        <v>13983</v>
      </c>
      <c r="AB79" s="88">
        <f t="shared" si="68"/>
        <v>0</v>
      </c>
      <c r="AC79" s="88">
        <f t="shared" si="68"/>
        <v>13983</v>
      </c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</row>
    <row r="80" spans="1:213" s="23" customFormat="1" ht="21" customHeight="1">
      <c r="A80" s="70"/>
      <c r="B80" s="188"/>
      <c r="C80" s="46">
        <v>3110</v>
      </c>
      <c r="D80" s="74" t="s">
        <v>111</v>
      </c>
      <c r="E80" s="88"/>
      <c r="F80" s="88"/>
      <c r="G80" s="88">
        <v>0</v>
      </c>
      <c r="H80" s="88">
        <v>5500</v>
      </c>
      <c r="I80" s="88">
        <f>SUM(G80:H80)</f>
        <v>5500</v>
      </c>
      <c r="J80" s="88"/>
      <c r="K80" s="88">
        <f>SUM(I80:J80)</f>
        <v>5500</v>
      </c>
      <c r="L80" s="88"/>
      <c r="M80" s="88">
        <f>SUM(K80:L80)</f>
        <v>5500</v>
      </c>
      <c r="N80" s="88"/>
      <c r="O80" s="88">
        <f>SUM(M80:N80)</f>
        <v>5500</v>
      </c>
      <c r="P80" s="88"/>
      <c r="Q80" s="88">
        <f>SUM(O80:P80)</f>
        <v>5500</v>
      </c>
      <c r="R80" s="88"/>
      <c r="S80" s="88">
        <f>SUM(Q80:R80)</f>
        <v>5500</v>
      </c>
      <c r="T80" s="88">
        <v>4000</v>
      </c>
      <c r="U80" s="88">
        <f>SUM(S80:T80)</f>
        <v>9500</v>
      </c>
      <c r="V80" s="88"/>
      <c r="W80" s="88">
        <f>SUM(U80:V80)</f>
        <v>9500</v>
      </c>
      <c r="X80" s="88"/>
      <c r="Y80" s="88">
        <f>SUM(W80:X80)</f>
        <v>9500</v>
      </c>
      <c r="Z80" s="88">
        <v>4483</v>
      </c>
      <c r="AA80" s="88">
        <f>SUM(Y80:Z80)</f>
        <v>13983</v>
      </c>
      <c r="AB80" s="88"/>
      <c r="AC80" s="88">
        <f>SUM(AA80:AB80)</f>
        <v>13983</v>
      </c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</row>
    <row r="81" spans="1:213" ht="21" customHeight="1">
      <c r="A81" s="8"/>
      <c r="B81" s="8"/>
      <c r="C81" s="8"/>
      <c r="D81" s="16" t="s">
        <v>67</v>
      </c>
      <c r="E81" s="40">
        <f aca="true" t="shared" si="69" ref="E81:J81">SUM(E69,E33,E17,)</f>
        <v>6723852</v>
      </c>
      <c r="F81" s="40">
        <f t="shared" si="69"/>
        <v>-73</v>
      </c>
      <c r="G81" s="40">
        <f t="shared" si="69"/>
        <v>6723779</v>
      </c>
      <c r="H81" s="40">
        <f t="shared" si="69"/>
        <v>5500</v>
      </c>
      <c r="I81" s="40">
        <f t="shared" si="69"/>
        <v>6729279</v>
      </c>
      <c r="J81" s="40">
        <f t="shared" si="69"/>
        <v>0</v>
      </c>
      <c r="K81" s="40">
        <f aca="true" t="shared" si="70" ref="K81:T81">SUM(K69,K33,K17,K7)</f>
        <v>6729279</v>
      </c>
      <c r="L81" s="40">
        <f t="shared" si="70"/>
        <v>292460</v>
      </c>
      <c r="M81" s="40">
        <f t="shared" si="70"/>
        <v>7021739</v>
      </c>
      <c r="N81" s="40">
        <f t="shared" si="70"/>
        <v>21375</v>
      </c>
      <c r="O81" s="40">
        <f t="shared" si="70"/>
        <v>7043114</v>
      </c>
      <c r="P81" s="40">
        <f t="shared" si="70"/>
        <v>11000</v>
      </c>
      <c r="Q81" s="40">
        <f t="shared" si="70"/>
        <v>7054114</v>
      </c>
      <c r="R81" s="40">
        <f t="shared" si="70"/>
        <v>25048</v>
      </c>
      <c r="S81" s="40">
        <f t="shared" si="70"/>
        <v>7079162</v>
      </c>
      <c r="T81" s="40">
        <f t="shared" si="70"/>
        <v>18329</v>
      </c>
      <c r="U81" s="40">
        <f>SUM(U69,U33,U17,U7,U64)</f>
        <v>7097491</v>
      </c>
      <c r="V81" s="40">
        <f>SUM(V69,V33,V17,V7,V64)</f>
        <v>76630</v>
      </c>
      <c r="W81" s="40">
        <f>SUM(W69,W33,W17,W7,W64)</f>
        <v>7174121</v>
      </c>
      <c r="X81" s="40">
        <f>SUM(X69,X33,X17,X7,X64)</f>
        <v>2134</v>
      </c>
      <c r="Y81" s="40">
        <f>SUM(Y69,Y33,Y17,Y7,Y64,Y51)</f>
        <v>7176255</v>
      </c>
      <c r="Z81" s="40">
        <f>SUM(Z69,Z33,Z17,Z7,Z64,Z51)</f>
        <v>91770</v>
      </c>
      <c r="AA81" s="40">
        <f>SUM(AA69,AA33,AA17,AA7,AA64,AA51)</f>
        <v>7353912</v>
      </c>
      <c r="AB81" s="40">
        <f>SUM(AB69,AB33,AB17,AB7,AB64,AB51)</f>
        <v>398577</v>
      </c>
      <c r="AC81" s="40">
        <f>SUM(AC69,AC64,AC33,AC17,AC7)</f>
        <v>7666602</v>
      </c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</row>
    <row r="83" spans="5:29" ht="12.7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113"/>
      <c r="AA83" s="23"/>
      <c r="AB83" s="113"/>
      <c r="AC83" s="23"/>
    </row>
    <row r="84" spans="5:29" ht="12.75"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</row>
    <row r="85" spans="5:29" ht="12.7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113"/>
      <c r="AA85" s="23"/>
      <c r="AB85" s="113"/>
      <c r="AC85" s="23"/>
    </row>
    <row r="86" spans="5:29" ht="12.75"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</row>
    <row r="87" spans="5:29" ht="12.75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113"/>
      <c r="AA87" s="23"/>
      <c r="AB87" s="113"/>
      <c r="AC87" s="23"/>
    </row>
    <row r="88" spans="5:29" ht="12.7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13"/>
      <c r="AA88" s="23"/>
      <c r="AB88" s="113"/>
      <c r="AC88" s="23"/>
    </row>
    <row r="89" spans="5:29" ht="12.75"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</row>
    <row r="90" spans="5:29" ht="12.75"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</row>
    <row r="91" spans="5:29" ht="12.7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5:29" ht="12.7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5:29" ht="12.75"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5:29" ht="12.7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5:29" ht="12.7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5:29" ht="12.7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5:29" ht="12.7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5:29" ht="12.7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</sheetData>
  <sheetProtection/>
  <mergeCells count="1">
    <mergeCell ref="A5:AC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4">
      <selection activeCell="T19" sqref="T18:T19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5.875" style="0" customWidth="1"/>
    <col min="4" max="4" width="32.625" style="0" customWidth="1"/>
    <col min="5" max="5" width="13.125" style="0" hidden="1" customWidth="1"/>
    <col min="6" max="6" width="12.25390625" style="0" hidden="1" customWidth="1"/>
    <col min="7" max="7" width="13.625" style="0" hidden="1" customWidth="1"/>
    <col min="8" max="8" width="13.875" style="0" hidden="1" customWidth="1"/>
    <col min="9" max="9" width="12.875" style="0" hidden="1" customWidth="1"/>
    <col min="10" max="11" width="14.00390625" style="0" hidden="1" customWidth="1"/>
    <col min="12" max="12" width="13.25390625" style="0" hidden="1" customWidth="1"/>
    <col min="13" max="13" width="0.12890625" style="0" hidden="1" customWidth="1"/>
    <col min="14" max="14" width="0.2421875" style="0" hidden="1" customWidth="1"/>
    <col min="15" max="15" width="12.25390625" style="0" customWidth="1"/>
    <col min="16" max="16" width="12.125" style="0" customWidth="1"/>
    <col min="17" max="17" width="12.25390625" style="0" customWidth="1"/>
  </cols>
  <sheetData>
    <row r="1" spans="1:17" ht="12.75">
      <c r="A1" s="6"/>
      <c r="B1" s="6"/>
      <c r="C1" s="6"/>
      <c r="D1" s="6"/>
      <c r="E1" s="54" t="s">
        <v>465</v>
      </c>
      <c r="F1" s="54"/>
      <c r="G1" s="54" t="s">
        <v>466</v>
      </c>
      <c r="H1" s="54"/>
      <c r="I1" s="54" t="s">
        <v>467</v>
      </c>
      <c r="J1" s="54"/>
      <c r="K1" s="54" t="s">
        <v>468</v>
      </c>
      <c r="L1" s="54"/>
      <c r="M1" s="54" t="s">
        <v>489</v>
      </c>
      <c r="N1" s="54"/>
      <c r="O1" s="54" t="s">
        <v>499</v>
      </c>
      <c r="P1" s="54"/>
      <c r="Q1" s="54"/>
    </row>
    <row r="2" spans="1:17" ht="12.75">
      <c r="A2" s="6"/>
      <c r="B2" s="6"/>
      <c r="C2" s="6"/>
      <c r="D2" s="6"/>
      <c r="E2" s="54" t="s">
        <v>315</v>
      </c>
      <c r="F2" s="54"/>
      <c r="G2" s="54" t="s">
        <v>388</v>
      </c>
      <c r="H2" s="54"/>
      <c r="I2" s="54" t="s">
        <v>404</v>
      </c>
      <c r="J2" s="54"/>
      <c r="K2" s="54" t="s">
        <v>421</v>
      </c>
      <c r="L2" s="54"/>
      <c r="M2" s="54" t="s">
        <v>482</v>
      </c>
      <c r="N2" s="54"/>
      <c r="O2" s="54" t="s">
        <v>493</v>
      </c>
      <c r="P2" s="54"/>
      <c r="Q2" s="54"/>
    </row>
    <row r="3" spans="1:17" ht="12.75">
      <c r="A3" s="6"/>
      <c r="B3" s="6"/>
      <c r="C3" s="6"/>
      <c r="D3" s="6"/>
      <c r="E3" s="54" t="s">
        <v>469</v>
      </c>
      <c r="F3" s="54"/>
      <c r="G3" s="54" t="s">
        <v>465</v>
      </c>
      <c r="H3" s="54"/>
      <c r="I3" s="54" t="s">
        <v>466</v>
      </c>
      <c r="J3" s="54"/>
      <c r="K3" s="54" t="s">
        <v>467</v>
      </c>
      <c r="L3" s="54"/>
      <c r="M3" s="54" t="s">
        <v>468</v>
      </c>
      <c r="N3" s="54"/>
      <c r="O3" s="54" t="s">
        <v>498</v>
      </c>
      <c r="P3" s="54"/>
      <c r="Q3" s="54"/>
    </row>
    <row r="4" spans="1:17" ht="12.75">
      <c r="A4" s="6"/>
      <c r="B4" s="6"/>
      <c r="C4" s="6"/>
      <c r="D4" s="6"/>
      <c r="E4" s="54" t="s">
        <v>314</v>
      </c>
      <c r="F4" s="54"/>
      <c r="G4" s="54" t="s">
        <v>326</v>
      </c>
      <c r="H4" s="54"/>
      <c r="I4" s="54" t="s">
        <v>395</v>
      </c>
      <c r="J4" s="54"/>
      <c r="K4" s="54" t="s">
        <v>411</v>
      </c>
      <c r="L4" s="54"/>
      <c r="M4" s="54" t="s">
        <v>437</v>
      </c>
      <c r="N4" s="54"/>
      <c r="O4" s="54" t="s">
        <v>491</v>
      </c>
      <c r="P4" s="54"/>
      <c r="Q4" s="54"/>
    </row>
    <row r="5" spans="1:17" ht="45" customHeight="1">
      <c r="A5" s="265" t="s">
        <v>470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</row>
    <row r="6" spans="1:17" ht="24" customHeight="1">
      <c r="A6" s="266" t="s">
        <v>471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ht="32.25" customHeight="1">
      <c r="A7" s="238" t="s">
        <v>0</v>
      </c>
      <c r="B7" s="238" t="s">
        <v>1</v>
      </c>
      <c r="C7" s="238" t="s">
        <v>2</v>
      </c>
      <c r="D7" s="238" t="s">
        <v>3</v>
      </c>
      <c r="E7" s="101" t="s">
        <v>325</v>
      </c>
      <c r="F7" s="101" t="s">
        <v>283</v>
      </c>
      <c r="G7" s="101" t="s">
        <v>142</v>
      </c>
      <c r="H7" s="101" t="s">
        <v>283</v>
      </c>
      <c r="I7" s="101" t="s">
        <v>142</v>
      </c>
      <c r="J7" s="101" t="s">
        <v>283</v>
      </c>
      <c r="K7" s="101" t="s">
        <v>142</v>
      </c>
      <c r="L7" s="101" t="s">
        <v>283</v>
      </c>
      <c r="M7" s="101" t="s">
        <v>142</v>
      </c>
      <c r="N7" s="101" t="s">
        <v>283</v>
      </c>
      <c r="O7" s="101" t="s">
        <v>142</v>
      </c>
      <c r="P7" s="101" t="s">
        <v>283</v>
      </c>
      <c r="Q7" s="101" t="s">
        <v>313</v>
      </c>
    </row>
    <row r="8" spans="1:17" ht="44.25" customHeight="1">
      <c r="A8" s="238">
        <v>756</v>
      </c>
      <c r="B8" s="238"/>
      <c r="C8" s="238"/>
      <c r="D8" s="239" t="s">
        <v>472</v>
      </c>
      <c r="E8" s="240">
        <f aca="true" t="shared" si="0" ref="E8:Q9">SUM(E9)</f>
        <v>330000</v>
      </c>
      <c r="F8" s="240">
        <f t="shared" si="0"/>
        <v>0</v>
      </c>
      <c r="G8" s="240">
        <f t="shared" si="0"/>
        <v>330000</v>
      </c>
      <c r="H8" s="240">
        <f t="shared" si="0"/>
        <v>0</v>
      </c>
      <c r="I8" s="240">
        <f t="shared" si="0"/>
        <v>330000</v>
      </c>
      <c r="J8" s="240">
        <f t="shared" si="0"/>
        <v>0</v>
      </c>
      <c r="K8" s="240">
        <f t="shared" si="0"/>
        <v>330000</v>
      </c>
      <c r="L8" s="240">
        <f t="shared" si="0"/>
        <v>0</v>
      </c>
      <c r="M8" s="240">
        <f t="shared" si="0"/>
        <v>330000</v>
      </c>
      <c r="N8" s="240">
        <f t="shared" si="0"/>
        <v>9145</v>
      </c>
      <c r="O8" s="240">
        <f t="shared" si="0"/>
        <v>339145</v>
      </c>
      <c r="P8" s="240">
        <f t="shared" si="0"/>
        <v>0</v>
      </c>
      <c r="Q8" s="240">
        <f t="shared" si="0"/>
        <v>339145</v>
      </c>
    </row>
    <row r="9" spans="1:17" ht="41.25" customHeight="1">
      <c r="A9" s="241"/>
      <c r="B9" s="46">
        <v>75618</v>
      </c>
      <c r="C9" s="241"/>
      <c r="D9" s="242" t="s">
        <v>473</v>
      </c>
      <c r="E9" s="243">
        <f t="shared" si="0"/>
        <v>330000</v>
      </c>
      <c r="F9" s="243">
        <f t="shared" si="0"/>
        <v>0</v>
      </c>
      <c r="G9" s="243">
        <f t="shared" si="0"/>
        <v>330000</v>
      </c>
      <c r="H9" s="243">
        <f t="shared" si="0"/>
        <v>0</v>
      </c>
      <c r="I9" s="243">
        <f t="shared" si="0"/>
        <v>330000</v>
      </c>
      <c r="J9" s="243">
        <f t="shared" si="0"/>
        <v>0</v>
      </c>
      <c r="K9" s="243">
        <f t="shared" si="0"/>
        <v>330000</v>
      </c>
      <c r="L9" s="243">
        <f t="shared" si="0"/>
        <v>0</v>
      </c>
      <c r="M9" s="243">
        <f t="shared" si="0"/>
        <v>330000</v>
      </c>
      <c r="N9" s="243">
        <f t="shared" si="0"/>
        <v>9145</v>
      </c>
      <c r="O9" s="243">
        <f t="shared" si="0"/>
        <v>339145</v>
      </c>
      <c r="P9" s="243">
        <f t="shared" si="0"/>
        <v>0</v>
      </c>
      <c r="Q9" s="243">
        <f t="shared" si="0"/>
        <v>339145</v>
      </c>
    </row>
    <row r="10" spans="1:17" ht="22.5" customHeight="1">
      <c r="A10" s="241"/>
      <c r="B10" s="241"/>
      <c r="C10" s="244" t="s">
        <v>176</v>
      </c>
      <c r="D10" s="74" t="s">
        <v>474</v>
      </c>
      <c r="E10" s="243">
        <v>330000</v>
      </c>
      <c r="F10" s="243"/>
      <c r="G10" s="243">
        <f>SUM(E10:F10)</f>
        <v>330000</v>
      </c>
      <c r="H10" s="243"/>
      <c r="I10" s="243">
        <f>SUM(G10:H10)</f>
        <v>330000</v>
      </c>
      <c r="J10" s="243"/>
      <c r="K10" s="243">
        <f>SUM(I10:J10)</f>
        <v>330000</v>
      </c>
      <c r="L10" s="243"/>
      <c r="M10" s="243">
        <f>SUM(K10:L10)</f>
        <v>330000</v>
      </c>
      <c r="N10" s="243">
        <v>9145</v>
      </c>
      <c r="O10" s="243">
        <f>SUM(M10:N10)</f>
        <v>339145</v>
      </c>
      <c r="P10" s="243"/>
      <c r="Q10" s="243">
        <f>SUM(O10:P10)</f>
        <v>339145</v>
      </c>
    </row>
    <row r="11" spans="1:17" ht="22.5" customHeight="1">
      <c r="A11" s="245"/>
      <c r="B11" s="245"/>
      <c r="C11" s="245"/>
      <c r="D11" s="238" t="s">
        <v>67</v>
      </c>
      <c r="E11" s="240">
        <f aca="true" t="shared" si="1" ref="E11:K11">SUM(E8)</f>
        <v>330000</v>
      </c>
      <c r="F11" s="240">
        <f t="shared" si="1"/>
        <v>0</v>
      </c>
      <c r="G11" s="240">
        <f t="shared" si="1"/>
        <v>330000</v>
      </c>
      <c r="H11" s="240">
        <f t="shared" si="1"/>
        <v>0</v>
      </c>
      <c r="I11" s="240">
        <f t="shared" si="1"/>
        <v>330000</v>
      </c>
      <c r="J11" s="240">
        <f t="shared" si="1"/>
        <v>0</v>
      </c>
      <c r="K11" s="240">
        <f t="shared" si="1"/>
        <v>330000</v>
      </c>
      <c r="L11" s="240">
        <f aca="true" t="shared" si="2" ref="L11:Q11">SUM(L8)</f>
        <v>0</v>
      </c>
      <c r="M11" s="240">
        <f t="shared" si="2"/>
        <v>330000</v>
      </c>
      <c r="N11" s="240">
        <f t="shared" si="2"/>
        <v>9145</v>
      </c>
      <c r="O11" s="240">
        <f t="shared" si="2"/>
        <v>339145</v>
      </c>
      <c r="P11" s="240">
        <f t="shared" si="2"/>
        <v>0</v>
      </c>
      <c r="Q11" s="240">
        <f t="shared" si="2"/>
        <v>339145</v>
      </c>
    </row>
    <row r="12" spans="1:17" ht="29.25" customHeight="1">
      <c r="A12" s="266" t="s">
        <v>475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</row>
    <row r="13" spans="1:17" ht="30" customHeight="1">
      <c r="A13" s="238" t="s">
        <v>0</v>
      </c>
      <c r="B13" s="238" t="s">
        <v>1</v>
      </c>
      <c r="C13" s="238" t="s">
        <v>2</v>
      </c>
      <c r="D13" s="238" t="s">
        <v>3</v>
      </c>
      <c r="E13" s="101" t="s">
        <v>325</v>
      </c>
      <c r="F13" s="101" t="s">
        <v>283</v>
      </c>
      <c r="G13" s="101" t="s">
        <v>142</v>
      </c>
      <c r="H13" s="101" t="s">
        <v>283</v>
      </c>
      <c r="I13" s="101" t="s">
        <v>142</v>
      </c>
      <c r="J13" s="101" t="s">
        <v>283</v>
      </c>
      <c r="K13" s="101" t="s">
        <v>142</v>
      </c>
      <c r="L13" s="101" t="s">
        <v>283</v>
      </c>
      <c r="M13" s="101" t="s">
        <v>142</v>
      </c>
      <c r="N13" s="101" t="s">
        <v>283</v>
      </c>
      <c r="O13" s="101" t="s">
        <v>142</v>
      </c>
      <c r="P13" s="101" t="s">
        <v>283</v>
      </c>
      <c r="Q13" s="101" t="s">
        <v>313</v>
      </c>
    </row>
    <row r="14" spans="1:17" ht="22.5" customHeight="1">
      <c r="A14" s="32" t="s">
        <v>44</v>
      </c>
      <c r="B14" s="33"/>
      <c r="C14" s="34"/>
      <c r="D14" s="35" t="s">
        <v>45</v>
      </c>
      <c r="E14" s="246">
        <f aca="true" t="shared" si="3" ref="E14:Q15">SUM(E15)</f>
        <v>108500</v>
      </c>
      <c r="F14" s="246">
        <f t="shared" si="3"/>
        <v>-47545</v>
      </c>
      <c r="G14" s="246">
        <f t="shared" si="3"/>
        <v>60955</v>
      </c>
      <c r="H14" s="246">
        <f t="shared" si="3"/>
        <v>-20955</v>
      </c>
      <c r="I14" s="246">
        <f t="shared" si="3"/>
        <v>40000</v>
      </c>
      <c r="J14" s="246">
        <f t="shared" si="3"/>
        <v>-40000</v>
      </c>
      <c r="K14" s="246">
        <f t="shared" si="3"/>
        <v>0</v>
      </c>
      <c r="L14" s="246">
        <f t="shared" si="3"/>
        <v>0</v>
      </c>
      <c r="M14" s="246">
        <f t="shared" si="3"/>
        <v>0</v>
      </c>
      <c r="N14" s="246">
        <f t="shared" si="3"/>
        <v>0</v>
      </c>
      <c r="O14" s="246">
        <f t="shared" si="3"/>
        <v>0</v>
      </c>
      <c r="P14" s="246">
        <f t="shared" si="3"/>
        <v>0</v>
      </c>
      <c r="Q14" s="246">
        <f t="shared" si="3"/>
        <v>0</v>
      </c>
    </row>
    <row r="15" spans="1:17" ht="22.5" customHeight="1">
      <c r="A15" s="64"/>
      <c r="B15" s="79" t="s">
        <v>105</v>
      </c>
      <c r="C15" s="83"/>
      <c r="D15" s="37" t="s">
        <v>106</v>
      </c>
      <c r="E15" s="205">
        <f t="shared" si="3"/>
        <v>108500</v>
      </c>
      <c r="F15" s="205">
        <f t="shared" si="3"/>
        <v>-47545</v>
      </c>
      <c r="G15" s="205">
        <f t="shared" si="3"/>
        <v>60955</v>
      </c>
      <c r="H15" s="205">
        <f t="shared" si="3"/>
        <v>-20955</v>
      </c>
      <c r="I15" s="205">
        <f t="shared" si="3"/>
        <v>40000</v>
      </c>
      <c r="J15" s="205">
        <f t="shared" si="3"/>
        <v>-40000</v>
      </c>
      <c r="K15" s="205">
        <f t="shared" si="3"/>
        <v>0</v>
      </c>
      <c r="L15" s="205">
        <f t="shared" si="3"/>
        <v>0</v>
      </c>
      <c r="M15" s="205">
        <f t="shared" si="3"/>
        <v>0</v>
      </c>
      <c r="N15" s="205">
        <f t="shared" si="3"/>
        <v>0</v>
      </c>
      <c r="O15" s="205">
        <f t="shared" si="3"/>
        <v>0</v>
      </c>
      <c r="P15" s="205">
        <f t="shared" si="3"/>
        <v>0</v>
      </c>
      <c r="Q15" s="205">
        <f t="shared" si="3"/>
        <v>0</v>
      </c>
    </row>
    <row r="16" spans="1:17" ht="22.5" customHeight="1">
      <c r="A16" s="64"/>
      <c r="B16" s="84"/>
      <c r="C16" s="83">
        <v>4810</v>
      </c>
      <c r="D16" s="37" t="s">
        <v>107</v>
      </c>
      <c r="E16" s="205">
        <f>40000+55000+13500</f>
        <v>108500</v>
      </c>
      <c r="F16" s="205">
        <v>-47545</v>
      </c>
      <c r="G16" s="205">
        <f>SUM(E16:F16)</f>
        <v>60955</v>
      </c>
      <c r="H16" s="205">
        <f>-1430-13500-6025</f>
        <v>-20955</v>
      </c>
      <c r="I16" s="205">
        <f>SUM(G16:H16)</f>
        <v>40000</v>
      </c>
      <c r="J16" s="205">
        <f>-12000-28000</f>
        <v>-40000</v>
      </c>
      <c r="K16" s="205">
        <f>SUM(I16:J16)</f>
        <v>0</v>
      </c>
      <c r="L16" s="205"/>
      <c r="M16" s="205">
        <f>SUM(K16:L16)</f>
        <v>0</v>
      </c>
      <c r="N16" s="205"/>
      <c r="O16" s="205">
        <f>SUM(M16:N16)</f>
        <v>0</v>
      </c>
      <c r="P16" s="205"/>
      <c r="Q16" s="205">
        <f>SUM(O16:P16)</f>
        <v>0</v>
      </c>
    </row>
    <row r="17" spans="1:17" ht="22.5" customHeight="1">
      <c r="A17" s="238">
        <v>851</v>
      </c>
      <c r="B17" s="238"/>
      <c r="C17" s="238"/>
      <c r="D17" s="247" t="s">
        <v>476</v>
      </c>
      <c r="E17" s="248">
        <f aca="true" t="shared" si="4" ref="E17:K17">E20+E18</f>
        <v>112403</v>
      </c>
      <c r="F17" s="248">
        <f t="shared" si="4"/>
        <v>47545</v>
      </c>
      <c r="G17" s="248">
        <f t="shared" si="4"/>
        <v>159948</v>
      </c>
      <c r="H17" s="248">
        <f t="shared" si="4"/>
        <v>14930</v>
      </c>
      <c r="I17" s="248">
        <f t="shared" si="4"/>
        <v>174878</v>
      </c>
      <c r="J17" s="248">
        <f t="shared" si="4"/>
        <v>0</v>
      </c>
      <c r="K17" s="248">
        <f t="shared" si="4"/>
        <v>174878</v>
      </c>
      <c r="L17" s="248">
        <f aca="true" t="shared" si="5" ref="L17:Q17">L20+L18</f>
        <v>0</v>
      </c>
      <c r="M17" s="248">
        <f t="shared" si="5"/>
        <v>174878</v>
      </c>
      <c r="N17" s="248">
        <f t="shared" si="5"/>
        <v>9145</v>
      </c>
      <c r="O17" s="248">
        <f t="shared" si="5"/>
        <v>184023</v>
      </c>
      <c r="P17" s="248">
        <f t="shared" si="5"/>
        <v>0</v>
      </c>
      <c r="Q17" s="248">
        <f t="shared" si="5"/>
        <v>184023</v>
      </c>
    </row>
    <row r="18" spans="1:17" ht="22.5" customHeight="1">
      <c r="A18" s="238"/>
      <c r="B18" s="241">
        <v>85153</v>
      </c>
      <c r="C18" s="238"/>
      <c r="D18" s="249" t="s">
        <v>219</v>
      </c>
      <c r="E18" s="250">
        <f aca="true" t="shared" si="6" ref="E18:Q18">SUM(E19:E19)</f>
        <v>5600</v>
      </c>
      <c r="F18" s="250">
        <f t="shared" si="6"/>
        <v>0</v>
      </c>
      <c r="G18" s="250">
        <f t="shared" si="6"/>
        <v>5600</v>
      </c>
      <c r="H18" s="250">
        <f t="shared" si="6"/>
        <v>0</v>
      </c>
      <c r="I18" s="250">
        <f t="shared" si="6"/>
        <v>5600</v>
      </c>
      <c r="J18" s="250">
        <f t="shared" si="6"/>
        <v>0</v>
      </c>
      <c r="K18" s="250">
        <f t="shared" si="6"/>
        <v>5600</v>
      </c>
      <c r="L18" s="250">
        <f t="shared" si="6"/>
        <v>0</v>
      </c>
      <c r="M18" s="250">
        <f t="shared" si="6"/>
        <v>5600</v>
      </c>
      <c r="N18" s="250">
        <f t="shared" si="6"/>
        <v>0</v>
      </c>
      <c r="O18" s="250">
        <f t="shared" si="6"/>
        <v>5600</v>
      </c>
      <c r="P18" s="250">
        <f t="shared" si="6"/>
        <v>0</v>
      </c>
      <c r="Q18" s="250">
        <f t="shared" si="6"/>
        <v>5600</v>
      </c>
    </row>
    <row r="19" spans="1:17" ht="22.5" customHeight="1">
      <c r="A19" s="251"/>
      <c r="B19" s="251"/>
      <c r="C19" s="46">
        <v>4300</v>
      </c>
      <c r="D19" s="37" t="s">
        <v>78</v>
      </c>
      <c r="E19" s="250">
        <v>5600</v>
      </c>
      <c r="F19" s="250"/>
      <c r="G19" s="250">
        <f>SUM(E19:F19)</f>
        <v>5600</v>
      </c>
      <c r="H19" s="250"/>
      <c r="I19" s="250">
        <f>SUM(G19:H19)</f>
        <v>5600</v>
      </c>
      <c r="J19" s="250"/>
      <c r="K19" s="250">
        <f>SUM(I19:J19)</f>
        <v>5600</v>
      </c>
      <c r="L19" s="250"/>
      <c r="M19" s="250">
        <f>SUM(K19:L19)</f>
        <v>5600</v>
      </c>
      <c r="N19" s="250"/>
      <c r="O19" s="250">
        <f>SUM(M19:N19)</f>
        <v>5600</v>
      </c>
      <c r="P19" s="250"/>
      <c r="Q19" s="250">
        <f>SUM(O19:P19)</f>
        <v>5600</v>
      </c>
    </row>
    <row r="20" spans="1:17" ht="22.5" customHeight="1">
      <c r="A20" s="70"/>
      <c r="B20" s="70" t="s">
        <v>118</v>
      </c>
      <c r="C20" s="46"/>
      <c r="D20" s="12" t="s">
        <v>53</v>
      </c>
      <c r="E20" s="82">
        <f>SUM(E22:E29)</f>
        <v>106803</v>
      </c>
      <c r="F20" s="82">
        <f>SUM(F22:F29)</f>
        <v>47545</v>
      </c>
      <c r="G20" s="82">
        <f>SUM(G21:G29)</f>
        <v>154348</v>
      </c>
      <c r="H20" s="82">
        <f>SUM(H21:H29)</f>
        <v>14930</v>
      </c>
      <c r="I20" s="82">
        <f>SUM(I21:I29)</f>
        <v>169278</v>
      </c>
      <c r="J20" s="82">
        <f>SUM(J21:J29)</f>
        <v>0</v>
      </c>
      <c r="K20" s="82">
        <f aca="true" t="shared" si="7" ref="K20:Q20">SUM(K21:K30)</f>
        <v>169278</v>
      </c>
      <c r="L20" s="82">
        <f t="shared" si="7"/>
        <v>0</v>
      </c>
      <c r="M20" s="82">
        <f t="shared" si="7"/>
        <v>169278</v>
      </c>
      <c r="N20" s="82">
        <f t="shared" si="7"/>
        <v>9145</v>
      </c>
      <c r="O20" s="82">
        <f t="shared" si="7"/>
        <v>178423</v>
      </c>
      <c r="P20" s="82">
        <f t="shared" si="7"/>
        <v>0</v>
      </c>
      <c r="Q20" s="82">
        <f t="shared" si="7"/>
        <v>178423</v>
      </c>
    </row>
    <row r="21" spans="1:17" ht="45">
      <c r="A21" s="70"/>
      <c r="B21" s="70"/>
      <c r="C21" s="46">
        <v>2710</v>
      </c>
      <c r="D21" s="12" t="s">
        <v>383</v>
      </c>
      <c r="E21" s="82"/>
      <c r="F21" s="82"/>
      <c r="G21" s="82">
        <v>0</v>
      </c>
      <c r="H21" s="82">
        <f>1430+6000+13500</f>
        <v>20930</v>
      </c>
      <c r="I21" s="82">
        <f>SUM(G21:H21)</f>
        <v>20930</v>
      </c>
      <c r="J21" s="82"/>
      <c r="K21" s="82">
        <f>SUM(I21:J21)</f>
        <v>20930</v>
      </c>
      <c r="L21" s="82"/>
      <c r="M21" s="82">
        <f>SUM(K21:L21)</f>
        <v>20930</v>
      </c>
      <c r="N21" s="82"/>
      <c r="O21" s="82">
        <f>SUM(M21:N21)</f>
        <v>20930</v>
      </c>
      <c r="P21" s="82"/>
      <c r="Q21" s="82">
        <f>SUM(O21:P21)</f>
        <v>20930</v>
      </c>
    </row>
    <row r="22" spans="1:17" ht="56.25">
      <c r="A22" s="70"/>
      <c r="B22" s="70"/>
      <c r="C22" s="46">
        <v>2830</v>
      </c>
      <c r="D22" s="12" t="s">
        <v>282</v>
      </c>
      <c r="E22" s="82">
        <v>0</v>
      </c>
      <c r="F22" s="82">
        <v>47545</v>
      </c>
      <c r="G22" s="82">
        <f>SUM(E22:F22)</f>
        <v>47545</v>
      </c>
      <c r="H22" s="82"/>
      <c r="I22" s="82">
        <f>SUM(G22:H22)</f>
        <v>47545</v>
      </c>
      <c r="J22" s="82"/>
      <c r="K22" s="82">
        <f>SUM(I22:J22)</f>
        <v>47545</v>
      </c>
      <c r="L22" s="82"/>
      <c r="M22" s="82">
        <f>SUM(K22:L22)</f>
        <v>47545</v>
      </c>
      <c r="N22" s="82"/>
      <c r="O22" s="82">
        <f>SUM(M22:N22)</f>
        <v>47545</v>
      </c>
      <c r="P22" s="82"/>
      <c r="Q22" s="82">
        <f>SUM(O22:P22)</f>
        <v>47545</v>
      </c>
    </row>
    <row r="23" spans="1:17" ht="22.5" customHeight="1">
      <c r="A23" s="70"/>
      <c r="B23" s="70"/>
      <c r="C23" s="46">
        <v>4110</v>
      </c>
      <c r="D23" s="37" t="s">
        <v>85</v>
      </c>
      <c r="E23" s="82">
        <v>1858</v>
      </c>
      <c r="F23" s="82"/>
      <c r="G23" s="82">
        <f>SUM(E23:F23)</f>
        <v>1858</v>
      </c>
      <c r="H23" s="82"/>
      <c r="I23" s="82">
        <f>SUM(G23:H23)</f>
        <v>1858</v>
      </c>
      <c r="J23" s="82"/>
      <c r="K23" s="82">
        <f>SUM(I23:J23)</f>
        <v>1858</v>
      </c>
      <c r="L23" s="82">
        <v>175</v>
      </c>
      <c r="M23" s="82">
        <f>SUM(K23:L23)</f>
        <v>2033</v>
      </c>
      <c r="N23" s="82"/>
      <c r="O23" s="82">
        <f>SUM(M23:N23)</f>
        <v>2033</v>
      </c>
      <c r="P23" s="82"/>
      <c r="Q23" s="82">
        <f>SUM(O23:P23)</f>
        <v>2033</v>
      </c>
    </row>
    <row r="24" spans="1:17" ht="22.5" customHeight="1">
      <c r="A24" s="70"/>
      <c r="B24" s="46"/>
      <c r="C24" s="46">
        <v>4170</v>
      </c>
      <c r="D24" s="12" t="s">
        <v>477</v>
      </c>
      <c r="E24" s="88">
        <f>20000+17100+7500</f>
        <v>44600</v>
      </c>
      <c r="F24" s="88"/>
      <c r="G24" s="82">
        <f aca="true" t="shared" si="8" ref="G24:G29">SUM(E24:F24)</f>
        <v>44600</v>
      </c>
      <c r="H24" s="88"/>
      <c r="I24" s="82">
        <f aca="true" t="shared" si="9" ref="I24:I29">SUM(G24:H24)</f>
        <v>44600</v>
      </c>
      <c r="J24" s="88"/>
      <c r="K24" s="82">
        <f aca="true" t="shared" si="10" ref="K24:K29">SUM(I24:J24)</f>
        <v>44600</v>
      </c>
      <c r="L24" s="88">
        <v>-6830</v>
      </c>
      <c r="M24" s="82">
        <f aca="true" t="shared" si="11" ref="M24:M30">SUM(K24:L24)</f>
        <v>37770</v>
      </c>
      <c r="N24" s="88"/>
      <c r="O24" s="82">
        <f aca="true" t="shared" si="12" ref="O24:O30">SUM(M24:N24)</f>
        <v>37770</v>
      </c>
      <c r="P24" s="88"/>
      <c r="Q24" s="82">
        <f aca="true" t="shared" si="13" ref="Q24:Q30">SUM(O24:P24)</f>
        <v>37770</v>
      </c>
    </row>
    <row r="25" spans="1:17" ht="22.5" customHeight="1">
      <c r="A25" s="70"/>
      <c r="B25" s="46"/>
      <c r="C25" s="46">
        <v>4210</v>
      </c>
      <c r="D25" s="12" t="s">
        <v>91</v>
      </c>
      <c r="E25" s="88">
        <f>7800+5000</f>
        <v>12800</v>
      </c>
      <c r="F25" s="88"/>
      <c r="G25" s="82">
        <f t="shared" si="8"/>
        <v>12800</v>
      </c>
      <c r="H25" s="88"/>
      <c r="I25" s="82">
        <f t="shared" si="9"/>
        <v>12800</v>
      </c>
      <c r="J25" s="88"/>
      <c r="K25" s="82">
        <f t="shared" si="10"/>
        <v>12800</v>
      </c>
      <c r="L25" s="88">
        <v>4370</v>
      </c>
      <c r="M25" s="82">
        <f t="shared" si="11"/>
        <v>17170</v>
      </c>
      <c r="N25" s="88">
        <v>845</v>
      </c>
      <c r="O25" s="82">
        <f t="shared" si="12"/>
        <v>18015</v>
      </c>
      <c r="P25" s="88"/>
      <c r="Q25" s="82">
        <f t="shared" si="13"/>
        <v>18015</v>
      </c>
    </row>
    <row r="26" spans="1:17" ht="22.5" customHeight="1">
      <c r="A26" s="70"/>
      <c r="B26" s="46"/>
      <c r="C26" s="46">
        <v>4220</v>
      </c>
      <c r="D26" s="12" t="s">
        <v>178</v>
      </c>
      <c r="E26" s="88">
        <v>13500</v>
      </c>
      <c r="F26" s="88"/>
      <c r="G26" s="82">
        <f t="shared" si="8"/>
        <v>13500</v>
      </c>
      <c r="H26" s="88"/>
      <c r="I26" s="82">
        <f t="shared" si="9"/>
        <v>13500</v>
      </c>
      <c r="J26" s="88"/>
      <c r="K26" s="82">
        <f t="shared" si="10"/>
        <v>13500</v>
      </c>
      <c r="L26" s="88">
        <v>2030</v>
      </c>
      <c r="M26" s="82">
        <f t="shared" si="11"/>
        <v>15530</v>
      </c>
      <c r="N26" s="88">
        <v>5000</v>
      </c>
      <c r="O26" s="82">
        <f t="shared" si="12"/>
        <v>20530</v>
      </c>
      <c r="P26" s="88"/>
      <c r="Q26" s="82">
        <f t="shared" si="13"/>
        <v>20530</v>
      </c>
    </row>
    <row r="27" spans="1:17" ht="22.5" customHeight="1">
      <c r="A27" s="70"/>
      <c r="B27" s="46"/>
      <c r="C27" s="46">
        <v>4300</v>
      </c>
      <c r="D27" s="12" t="s">
        <v>78</v>
      </c>
      <c r="E27" s="88">
        <f>5000+12000-5600+2400+6000+7500+4945</f>
        <v>32245</v>
      </c>
      <c r="F27" s="88"/>
      <c r="G27" s="82">
        <f t="shared" si="8"/>
        <v>32245</v>
      </c>
      <c r="H27" s="88">
        <v>-6000</v>
      </c>
      <c r="I27" s="82">
        <f t="shared" si="9"/>
        <v>26245</v>
      </c>
      <c r="J27" s="88"/>
      <c r="K27" s="82">
        <f t="shared" si="10"/>
        <v>26245</v>
      </c>
      <c r="L27" s="88">
        <v>55</v>
      </c>
      <c r="M27" s="82">
        <f t="shared" si="11"/>
        <v>26300</v>
      </c>
      <c r="N27" s="88">
        <f>1000+2000</f>
        <v>3000</v>
      </c>
      <c r="O27" s="82">
        <f t="shared" si="12"/>
        <v>29300</v>
      </c>
      <c r="P27" s="88"/>
      <c r="Q27" s="82">
        <f t="shared" si="13"/>
        <v>29300</v>
      </c>
    </row>
    <row r="28" spans="1:17" ht="22.5" customHeight="1">
      <c r="A28" s="70"/>
      <c r="B28" s="46"/>
      <c r="C28" s="46">
        <v>4410</v>
      </c>
      <c r="D28" s="37" t="s">
        <v>89</v>
      </c>
      <c r="E28" s="88">
        <v>1200</v>
      </c>
      <c r="F28" s="88"/>
      <c r="G28" s="82">
        <f t="shared" si="8"/>
        <v>1200</v>
      </c>
      <c r="H28" s="88"/>
      <c r="I28" s="82">
        <f t="shared" si="9"/>
        <v>1200</v>
      </c>
      <c r="J28" s="88"/>
      <c r="K28" s="82">
        <f t="shared" si="10"/>
        <v>1200</v>
      </c>
      <c r="L28" s="88"/>
      <c r="M28" s="82">
        <f t="shared" si="11"/>
        <v>1200</v>
      </c>
      <c r="N28" s="88">
        <v>300</v>
      </c>
      <c r="O28" s="82">
        <f t="shared" si="12"/>
        <v>1500</v>
      </c>
      <c r="P28" s="88"/>
      <c r="Q28" s="82">
        <f t="shared" si="13"/>
        <v>1500</v>
      </c>
    </row>
    <row r="29" spans="1:17" ht="22.5">
      <c r="A29" s="70"/>
      <c r="B29" s="46"/>
      <c r="C29" s="46">
        <v>4700</v>
      </c>
      <c r="D29" s="37" t="s">
        <v>234</v>
      </c>
      <c r="E29" s="88">
        <v>600</v>
      </c>
      <c r="F29" s="88"/>
      <c r="G29" s="82">
        <f t="shared" si="8"/>
        <v>600</v>
      </c>
      <c r="H29" s="88"/>
      <c r="I29" s="82">
        <f t="shared" si="9"/>
        <v>600</v>
      </c>
      <c r="J29" s="88"/>
      <c r="K29" s="82">
        <f t="shared" si="10"/>
        <v>600</v>
      </c>
      <c r="L29" s="88"/>
      <c r="M29" s="82">
        <f t="shared" si="11"/>
        <v>600</v>
      </c>
      <c r="N29" s="88"/>
      <c r="O29" s="82">
        <f t="shared" si="12"/>
        <v>600</v>
      </c>
      <c r="P29" s="88"/>
      <c r="Q29" s="82">
        <f t="shared" si="13"/>
        <v>600</v>
      </c>
    </row>
    <row r="30" spans="1:17" ht="33.75">
      <c r="A30" s="70"/>
      <c r="B30" s="46"/>
      <c r="C30" s="46">
        <v>4740</v>
      </c>
      <c r="D30" s="37" t="s">
        <v>249</v>
      </c>
      <c r="E30" s="88"/>
      <c r="F30" s="88"/>
      <c r="G30" s="82"/>
      <c r="H30" s="88"/>
      <c r="I30" s="82"/>
      <c r="J30" s="88"/>
      <c r="K30" s="82">
        <v>0</v>
      </c>
      <c r="L30" s="88">
        <v>200</v>
      </c>
      <c r="M30" s="82">
        <f t="shared" si="11"/>
        <v>200</v>
      </c>
      <c r="N30" s="88"/>
      <c r="O30" s="82">
        <f t="shared" si="12"/>
        <v>200</v>
      </c>
      <c r="P30" s="88"/>
      <c r="Q30" s="82">
        <f t="shared" si="13"/>
        <v>200</v>
      </c>
    </row>
    <row r="31" spans="1:17" ht="22.5" customHeight="1">
      <c r="A31" s="30">
        <v>852</v>
      </c>
      <c r="B31" s="3"/>
      <c r="C31" s="3"/>
      <c r="D31" s="18" t="s">
        <v>185</v>
      </c>
      <c r="E31" s="17">
        <f aca="true" t="shared" si="14" ref="E31:Q31">SUM(E32,)</f>
        <v>109097</v>
      </c>
      <c r="F31" s="17">
        <f t="shared" si="14"/>
        <v>0</v>
      </c>
      <c r="G31" s="17">
        <f t="shared" si="14"/>
        <v>109097</v>
      </c>
      <c r="H31" s="17">
        <f t="shared" si="14"/>
        <v>0</v>
      </c>
      <c r="I31" s="17">
        <f t="shared" si="14"/>
        <v>109097</v>
      </c>
      <c r="J31" s="17">
        <f t="shared" si="14"/>
        <v>0</v>
      </c>
      <c r="K31" s="17">
        <f t="shared" si="14"/>
        <v>109097</v>
      </c>
      <c r="L31" s="17">
        <f t="shared" si="14"/>
        <v>0</v>
      </c>
      <c r="M31" s="17">
        <f t="shared" si="14"/>
        <v>109097</v>
      </c>
      <c r="N31" s="17">
        <f t="shared" si="14"/>
        <v>0</v>
      </c>
      <c r="O31" s="17">
        <f t="shared" si="14"/>
        <v>109097</v>
      </c>
      <c r="P31" s="17">
        <f t="shared" si="14"/>
        <v>0</v>
      </c>
      <c r="Q31" s="17">
        <f t="shared" si="14"/>
        <v>109097</v>
      </c>
    </row>
    <row r="32" spans="1:17" ht="22.5" customHeight="1">
      <c r="A32" s="70"/>
      <c r="B32" s="70">
        <v>85219</v>
      </c>
      <c r="C32" s="46"/>
      <c r="D32" s="37" t="s">
        <v>57</v>
      </c>
      <c r="E32" s="82">
        <f aca="true" t="shared" si="15" ref="E32:K32">SUM(E33:E48)</f>
        <v>109097</v>
      </c>
      <c r="F32" s="82">
        <f t="shared" si="15"/>
        <v>0</v>
      </c>
      <c r="G32" s="82">
        <f t="shared" si="15"/>
        <v>109097</v>
      </c>
      <c r="H32" s="82">
        <f t="shared" si="15"/>
        <v>0</v>
      </c>
      <c r="I32" s="82">
        <f t="shared" si="15"/>
        <v>109097</v>
      </c>
      <c r="J32" s="82">
        <f t="shared" si="15"/>
        <v>0</v>
      </c>
      <c r="K32" s="82">
        <f t="shared" si="15"/>
        <v>109097</v>
      </c>
      <c r="L32" s="82">
        <f aca="true" t="shared" si="16" ref="L32:Q32">SUM(L33:L48)</f>
        <v>0</v>
      </c>
      <c r="M32" s="82">
        <f t="shared" si="16"/>
        <v>109097</v>
      </c>
      <c r="N32" s="82">
        <f t="shared" si="16"/>
        <v>0</v>
      </c>
      <c r="O32" s="82">
        <f t="shared" si="16"/>
        <v>109097</v>
      </c>
      <c r="P32" s="82">
        <f t="shared" si="16"/>
        <v>0</v>
      </c>
      <c r="Q32" s="82">
        <f t="shared" si="16"/>
        <v>109097</v>
      </c>
    </row>
    <row r="33" spans="1:17" ht="22.5" customHeight="1">
      <c r="A33" s="70"/>
      <c r="B33" s="70"/>
      <c r="C33" s="83">
        <v>4010</v>
      </c>
      <c r="D33" s="37" t="s">
        <v>83</v>
      </c>
      <c r="E33" s="88">
        <v>30333</v>
      </c>
      <c r="F33" s="88"/>
      <c r="G33" s="88">
        <f>SUM(E33:F33)</f>
        <v>30333</v>
      </c>
      <c r="H33" s="88"/>
      <c r="I33" s="88">
        <f>SUM(G33:H33)</f>
        <v>30333</v>
      </c>
      <c r="J33" s="88"/>
      <c r="K33" s="88">
        <f>SUM(I33:J33)</f>
        <v>30333</v>
      </c>
      <c r="L33" s="88"/>
      <c r="M33" s="88">
        <f>SUM(K33:L33)</f>
        <v>30333</v>
      </c>
      <c r="N33" s="88">
        <v>576</v>
      </c>
      <c r="O33" s="88">
        <f>SUM(M33:N33)</f>
        <v>30909</v>
      </c>
      <c r="P33" s="88"/>
      <c r="Q33" s="88">
        <f>SUM(O33:P33)</f>
        <v>30909</v>
      </c>
    </row>
    <row r="34" spans="1:17" ht="22.5" customHeight="1">
      <c r="A34" s="70"/>
      <c r="B34" s="70"/>
      <c r="C34" s="83">
        <v>4040</v>
      </c>
      <c r="D34" s="37" t="s">
        <v>84</v>
      </c>
      <c r="E34" s="88">
        <v>2420</v>
      </c>
      <c r="F34" s="88"/>
      <c r="G34" s="88">
        <f aca="true" t="shared" si="17" ref="G34:G48">SUM(E34:F34)</f>
        <v>2420</v>
      </c>
      <c r="H34" s="88"/>
      <c r="I34" s="88">
        <f aca="true" t="shared" si="18" ref="I34:I48">SUM(G34:H34)</f>
        <v>2420</v>
      </c>
      <c r="J34" s="88"/>
      <c r="K34" s="88">
        <f aca="true" t="shared" si="19" ref="K34:K48">SUM(I34:J34)</f>
        <v>2420</v>
      </c>
      <c r="L34" s="88"/>
      <c r="M34" s="88">
        <f aca="true" t="shared" si="20" ref="M34:M48">SUM(K34:L34)</f>
        <v>2420</v>
      </c>
      <c r="N34" s="88"/>
      <c r="O34" s="88">
        <f aca="true" t="shared" si="21" ref="O34:O48">SUM(M34:N34)</f>
        <v>2420</v>
      </c>
      <c r="P34" s="88"/>
      <c r="Q34" s="88">
        <f aca="true" t="shared" si="22" ref="Q34:Q48">SUM(O34:P34)</f>
        <v>2420</v>
      </c>
    </row>
    <row r="35" spans="1:17" ht="22.5" customHeight="1">
      <c r="A35" s="70"/>
      <c r="B35" s="70"/>
      <c r="C35" s="83">
        <v>4110</v>
      </c>
      <c r="D35" s="37" t="s">
        <v>85</v>
      </c>
      <c r="E35" s="88">
        <v>5008</v>
      </c>
      <c r="F35" s="88"/>
      <c r="G35" s="88">
        <f t="shared" si="17"/>
        <v>5008</v>
      </c>
      <c r="H35" s="88"/>
      <c r="I35" s="88">
        <f t="shared" si="18"/>
        <v>5008</v>
      </c>
      <c r="J35" s="88"/>
      <c r="K35" s="88">
        <f t="shared" si="19"/>
        <v>5008</v>
      </c>
      <c r="L35" s="88"/>
      <c r="M35" s="88">
        <f t="shared" si="20"/>
        <v>5008</v>
      </c>
      <c r="N35" s="88">
        <v>88</v>
      </c>
      <c r="O35" s="88">
        <f t="shared" si="21"/>
        <v>5096</v>
      </c>
      <c r="P35" s="88"/>
      <c r="Q35" s="88">
        <f t="shared" si="22"/>
        <v>5096</v>
      </c>
    </row>
    <row r="36" spans="1:17" ht="22.5" customHeight="1">
      <c r="A36" s="70"/>
      <c r="B36" s="70"/>
      <c r="C36" s="83">
        <v>4120</v>
      </c>
      <c r="D36" s="37" t="s">
        <v>86</v>
      </c>
      <c r="E36" s="88">
        <v>803</v>
      </c>
      <c r="F36" s="88"/>
      <c r="G36" s="88">
        <f t="shared" si="17"/>
        <v>803</v>
      </c>
      <c r="H36" s="88"/>
      <c r="I36" s="88">
        <f t="shared" si="18"/>
        <v>803</v>
      </c>
      <c r="J36" s="88"/>
      <c r="K36" s="88">
        <f t="shared" si="19"/>
        <v>803</v>
      </c>
      <c r="L36" s="88"/>
      <c r="M36" s="88">
        <f t="shared" si="20"/>
        <v>803</v>
      </c>
      <c r="N36" s="88">
        <v>14</v>
      </c>
      <c r="O36" s="88">
        <f t="shared" si="21"/>
        <v>817</v>
      </c>
      <c r="P36" s="88"/>
      <c r="Q36" s="88">
        <f t="shared" si="22"/>
        <v>817</v>
      </c>
    </row>
    <row r="37" spans="1:17" ht="22.5" customHeight="1">
      <c r="A37" s="70"/>
      <c r="B37" s="70"/>
      <c r="C37" s="83">
        <v>4210</v>
      </c>
      <c r="D37" s="12" t="s">
        <v>91</v>
      </c>
      <c r="E37" s="88">
        <v>4200</v>
      </c>
      <c r="F37" s="88"/>
      <c r="G37" s="88">
        <f t="shared" si="17"/>
        <v>4200</v>
      </c>
      <c r="H37" s="88"/>
      <c r="I37" s="88">
        <f t="shared" si="18"/>
        <v>4200</v>
      </c>
      <c r="J37" s="88"/>
      <c r="K37" s="88">
        <f t="shared" si="19"/>
        <v>4200</v>
      </c>
      <c r="L37" s="88"/>
      <c r="M37" s="88">
        <f t="shared" si="20"/>
        <v>4200</v>
      </c>
      <c r="N37" s="88"/>
      <c r="O37" s="88">
        <f t="shared" si="21"/>
        <v>4200</v>
      </c>
      <c r="P37" s="88">
        <v>-2000</v>
      </c>
      <c r="Q37" s="88">
        <f t="shared" si="22"/>
        <v>2200</v>
      </c>
    </row>
    <row r="38" spans="1:17" ht="22.5" customHeight="1">
      <c r="A38" s="70"/>
      <c r="B38" s="70"/>
      <c r="C38" s="83">
        <v>4280</v>
      </c>
      <c r="D38" s="12" t="s">
        <v>196</v>
      </c>
      <c r="E38" s="88">
        <v>150</v>
      </c>
      <c r="F38" s="88"/>
      <c r="G38" s="88">
        <f t="shared" si="17"/>
        <v>150</v>
      </c>
      <c r="H38" s="88"/>
      <c r="I38" s="88">
        <f t="shared" si="18"/>
        <v>150</v>
      </c>
      <c r="J38" s="88"/>
      <c r="K38" s="88">
        <f t="shared" si="19"/>
        <v>150</v>
      </c>
      <c r="L38" s="88"/>
      <c r="M38" s="88">
        <f t="shared" si="20"/>
        <v>150</v>
      </c>
      <c r="N38" s="88"/>
      <c r="O38" s="88">
        <f t="shared" si="21"/>
        <v>150</v>
      </c>
      <c r="P38" s="88">
        <v>-50</v>
      </c>
      <c r="Q38" s="88">
        <f t="shared" si="22"/>
        <v>100</v>
      </c>
    </row>
    <row r="39" spans="1:17" ht="22.5" customHeight="1">
      <c r="A39" s="70"/>
      <c r="B39" s="70"/>
      <c r="C39" s="83">
        <v>4300</v>
      </c>
      <c r="D39" s="12" t="s">
        <v>78</v>
      </c>
      <c r="E39" s="88">
        <v>55660</v>
      </c>
      <c r="F39" s="88"/>
      <c r="G39" s="88">
        <f t="shared" si="17"/>
        <v>55660</v>
      </c>
      <c r="H39" s="88"/>
      <c r="I39" s="88">
        <f t="shared" si="18"/>
        <v>55660</v>
      </c>
      <c r="J39" s="88"/>
      <c r="K39" s="88">
        <f t="shared" si="19"/>
        <v>55660</v>
      </c>
      <c r="L39" s="88"/>
      <c r="M39" s="88">
        <f t="shared" si="20"/>
        <v>55660</v>
      </c>
      <c r="N39" s="88">
        <v>-678</v>
      </c>
      <c r="O39" s="88">
        <f t="shared" si="21"/>
        <v>54982</v>
      </c>
      <c r="P39" s="88">
        <v>4776</v>
      </c>
      <c r="Q39" s="88">
        <f t="shared" si="22"/>
        <v>59758</v>
      </c>
    </row>
    <row r="40" spans="1:17" ht="22.5" customHeight="1">
      <c r="A40" s="70"/>
      <c r="B40" s="70"/>
      <c r="C40" s="83">
        <v>4350</v>
      </c>
      <c r="D40" s="12" t="s">
        <v>203</v>
      </c>
      <c r="E40" s="88">
        <v>550</v>
      </c>
      <c r="F40" s="88"/>
      <c r="G40" s="88">
        <f t="shared" si="17"/>
        <v>550</v>
      </c>
      <c r="H40" s="88"/>
      <c r="I40" s="88">
        <f t="shared" si="18"/>
        <v>550</v>
      </c>
      <c r="J40" s="88"/>
      <c r="K40" s="88">
        <f t="shared" si="19"/>
        <v>550</v>
      </c>
      <c r="L40" s="88"/>
      <c r="M40" s="88">
        <f t="shared" si="20"/>
        <v>550</v>
      </c>
      <c r="N40" s="88"/>
      <c r="O40" s="88">
        <f t="shared" si="21"/>
        <v>550</v>
      </c>
      <c r="P40" s="88">
        <v>-5</v>
      </c>
      <c r="Q40" s="88">
        <f t="shared" si="22"/>
        <v>545</v>
      </c>
    </row>
    <row r="41" spans="1:17" ht="22.5">
      <c r="A41" s="70"/>
      <c r="B41" s="70"/>
      <c r="C41" s="83">
        <v>4370</v>
      </c>
      <c r="D41" s="37" t="s">
        <v>478</v>
      </c>
      <c r="E41" s="88">
        <v>2500</v>
      </c>
      <c r="F41" s="88"/>
      <c r="G41" s="88">
        <f t="shared" si="17"/>
        <v>2500</v>
      </c>
      <c r="H41" s="88"/>
      <c r="I41" s="88">
        <f t="shared" si="18"/>
        <v>2500</v>
      </c>
      <c r="J41" s="88"/>
      <c r="K41" s="88">
        <f t="shared" si="19"/>
        <v>2500</v>
      </c>
      <c r="L41" s="88"/>
      <c r="M41" s="88">
        <f t="shared" si="20"/>
        <v>2500</v>
      </c>
      <c r="N41" s="88"/>
      <c r="O41" s="88">
        <f t="shared" si="21"/>
        <v>2500</v>
      </c>
      <c r="P41" s="88">
        <v>-1100</v>
      </c>
      <c r="Q41" s="88">
        <f t="shared" si="22"/>
        <v>1400</v>
      </c>
    </row>
    <row r="42" spans="1:17" ht="22.5">
      <c r="A42" s="70"/>
      <c r="B42" s="70"/>
      <c r="C42" s="83">
        <v>4400</v>
      </c>
      <c r="D42" s="37" t="s">
        <v>226</v>
      </c>
      <c r="E42" s="88">
        <v>2110</v>
      </c>
      <c r="F42" s="88"/>
      <c r="G42" s="88">
        <f t="shared" si="17"/>
        <v>2110</v>
      </c>
      <c r="H42" s="88"/>
      <c r="I42" s="88">
        <f t="shared" si="18"/>
        <v>2110</v>
      </c>
      <c r="J42" s="88"/>
      <c r="K42" s="88">
        <f t="shared" si="19"/>
        <v>2110</v>
      </c>
      <c r="L42" s="88"/>
      <c r="M42" s="88">
        <f t="shared" si="20"/>
        <v>2110</v>
      </c>
      <c r="N42" s="88"/>
      <c r="O42" s="88">
        <f t="shared" si="21"/>
        <v>2110</v>
      </c>
      <c r="P42" s="88"/>
      <c r="Q42" s="88">
        <f t="shared" si="22"/>
        <v>2110</v>
      </c>
    </row>
    <row r="43" spans="1:17" ht="24.75" customHeight="1">
      <c r="A43" s="70"/>
      <c r="B43" s="70"/>
      <c r="C43" s="83">
        <v>4410</v>
      </c>
      <c r="D43" s="37" t="s">
        <v>89</v>
      </c>
      <c r="E43" s="88">
        <v>200</v>
      </c>
      <c r="F43" s="88"/>
      <c r="G43" s="88">
        <f t="shared" si="17"/>
        <v>200</v>
      </c>
      <c r="H43" s="88"/>
      <c r="I43" s="88">
        <f t="shared" si="18"/>
        <v>200</v>
      </c>
      <c r="J43" s="88"/>
      <c r="K43" s="88">
        <f t="shared" si="19"/>
        <v>200</v>
      </c>
      <c r="L43" s="88"/>
      <c r="M43" s="88">
        <f t="shared" si="20"/>
        <v>200</v>
      </c>
      <c r="N43" s="88"/>
      <c r="O43" s="88">
        <f t="shared" si="21"/>
        <v>200</v>
      </c>
      <c r="P43" s="88">
        <v>132</v>
      </c>
      <c r="Q43" s="88">
        <f t="shared" si="22"/>
        <v>332</v>
      </c>
    </row>
    <row r="44" spans="1:17" ht="24.75" customHeight="1">
      <c r="A44" s="70"/>
      <c r="B44" s="70"/>
      <c r="C44" s="83">
        <v>4440</v>
      </c>
      <c r="D44" s="37" t="s">
        <v>87</v>
      </c>
      <c r="E44" s="88">
        <v>1133</v>
      </c>
      <c r="F44" s="88"/>
      <c r="G44" s="88">
        <f t="shared" si="17"/>
        <v>1133</v>
      </c>
      <c r="H44" s="88"/>
      <c r="I44" s="88">
        <f t="shared" si="18"/>
        <v>1133</v>
      </c>
      <c r="J44" s="88"/>
      <c r="K44" s="88">
        <f t="shared" si="19"/>
        <v>1133</v>
      </c>
      <c r="L44" s="88"/>
      <c r="M44" s="88">
        <f t="shared" si="20"/>
        <v>1133</v>
      </c>
      <c r="N44" s="88"/>
      <c r="O44" s="88">
        <f t="shared" si="21"/>
        <v>1133</v>
      </c>
      <c r="P44" s="88">
        <v>-43</v>
      </c>
      <c r="Q44" s="88">
        <f t="shared" si="22"/>
        <v>1090</v>
      </c>
    </row>
    <row r="45" spans="1:17" ht="24.75" customHeight="1">
      <c r="A45" s="70"/>
      <c r="B45" s="70"/>
      <c r="C45" s="83">
        <v>4610</v>
      </c>
      <c r="D45" s="37" t="s">
        <v>180</v>
      </c>
      <c r="E45" s="88">
        <v>1200</v>
      </c>
      <c r="F45" s="88"/>
      <c r="G45" s="88">
        <f t="shared" si="17"/>
        <v>1200</v>
      </c>
      <c r="H45" s="88"/>
      <c r="I45" s="88">
        <f t="shared" si="18"/>
        <v>1200</v>
      </c>
      <c r="J45" s="88"/>
      <c r="K45" s="88">
        <f t="shared" si="19"/>
        <v>1200</v>
      </c>
      <c r="L45" s="88"/>
      <c r="M45" s="88">
        <f t="shared" si="20"/>
        <v>1200</v>
      </c>
      <c r="N45" s="88"/>
      <c r="O45" s="88">
        <f t="shared" si="21"/>
        <v>1200</v>
      </c>
      <c r="P45" s="88">
        <v>-960</v>
      </c>
      <c r="Q45" s="88">
        <f t="shared" si="22"/>
        <v>240</v>
      </c>
    </row>
    <row r="46" spans="1:17" ht="22.5">
      <c r="A46" s="70"/>
      <c r="B46" s="70"/>
      <c r="C46" s="83">
        <v>4700</v>
      </c>
      <c r="D46" s="37" t="s">
        <v>234</v>
      </c>
      <c r="E46" s="88">
        <v>2000</v>
      </c>
      <c r="F46" s="88"/>
      <c r="G46" s="88">
        <f t="shared" si="17"/>
        <v>2000</v>
      </c>
      <c r="H46" s="88"/>
      <c r="I46" s="88">
        <f t="shared" si="18"/>
        <v>2000</v>
      </c>
      <c r="J46" s="88"/>
      <c r="K46" s="88">
        <f t="shared" si="19"/>
        <v>2000</v>
      </c>
      <c r="L46" s="88"/>
      <c r="M46" s="88">
        <f t="shared" si="20"/>
        <v>2000</v>
      </c>
      <c r="N46" s="88"/>
      <c r="O46" s="88">
        <f t="shared" si="21"/>
        <v>2000</v>
      </c>
      <c r="P46" s="88">
        <v>-750</v>
      </c>
      <c r="Q46" s="88">
        <f t="shared" si="22"/>
        <v>1250</v>
      </c>
    </row>
    <row r="47" spans="1:17" ht="33.75">
      <c r="A47" s="70"/>
      <c r="B47" s="70"/>
      <c r="C47" s="83">
        <v>4740</v>
      </c>
      <c r="D47" s="37" t="s">
        <v>221</v>
      </c>
      <c r="E47" s="88">
        <v>130</v>
      </c>
      <c r="F47" s="88"/>
      <c r="G47" s="88">
        <f t="shared" si="17"/>
        <v>130</v>
      </c>
      <c r="H47" s="88"/>
      <c r="I47" s="88">
        <f t="shared" si="18"/>
        <v>130</v>
      </c>
      <c r="J47" s="88"/>
      <c r="K47" s="88">
        <f t="shared" si="19"/>
        <v>130</v>
      </c>
      <c r="L47" s="88"/>
      <c r="M47" s="88">
        <f t="shared" si="20"/>
        <v>130</v>
      </c>
      <c r="N47" s="88"/>
      <c r="O47" s="88">
        <f t="shared" si="21"/>
        <v>130</v>
      </c>
      <c r="P47" s="88"/>
      <c r="Q47" s="88">
        <f t="shared" si="22"/>
        <v>130</v>
      </c>
    </row>
    <row r="48" spans="1:17" ht="24.75" customHeight="1">
      <c r="A48" s="70"/>
      <c r="B48" s="70"/>
      <c r="C48" s="83">
        <v>4750</v>
      </c>
      <c r="D48" s="37" t="s">
        <v>237</v>
      </c>
      <c r="E48" s="88">
        <v>700</v>
      </c>
      <c r="F48" s="88"/>
      <c r="G48" s="88">
        <f t="shared" si="17"/>
        <v>700</v>
      </c>
      <c r="H48" s="88"/>
      <c r="I48" s="88">
        <f t="shared" si="18"/>
        <v>700</v>
      </c>
      <c r="J48" s="88"/>
      <c r="K48" s="88">
        <f t="shared" si="19"/>
        <v>700</v>
      </c>
      <c r="L48" s="88"/>
      <c r="M48" s="88">
        <f t="shared" si="20"/>
        <v>700</v>
      </c>
      <c r="N48" s="88"/>
      <c r="O48" s="88">
        <f t="shared" si="21"/>
        <v>700</v>
      </c>
      <c r="P48" s="88"/>
      <c r="Q48" s="88">
        <f t="shared" si="22"/>
        <v>700</v>
      </c>
    </row>
    <row r="49" spans="1:17" ht="22.5" customHeight="1">
      <c r="A49" s="177">
        <v>854</v>
      </c>
      <c r="B49" s="177"/>
      <c r="C49" s="252"/>
      <c r="D49" s="35" t="s">
        <v>58</v>
      </c>
      <c r="E49" s="147"/>
      <c r="F49" s="147"/>
      <c r="G49" s="147"/>
      <c r="H49" s="147"/>
      <c r="I49" s="147">
        <f aca="true" t="shared" si="23" ref="I49:Q49">SUM(I50)</f>
        <v>0</v>
      </c>
      <c r="J49" s="147">
        <f t="shared" si="23"/>
        <v>40000</v>
      </c>
      <c r="K49" s="147">
        <f t="shared" si="23"/>
        <v>40000</v>
      </c>
      <c r="L49" s="147">
        <f t="shared" si="23"/>
        <v>0</v>
      </c>
      <c r="M49" s="147">
        <f t="shared" si="23"/>
        <v>40000</v>
      </c>
      <c r="N49" s="147">
        <f t="shared" si="23"/>
        <v>0</v>
      </c>
      <c r="O49" s="147">
        <f t="shared" si="23"/>
        <v>40000</v>
      </c>
      <c r="P49" s="147">
        <f t="shared" si="23"/>
        <v>0</v>
      </c>
      <c r="Q49" s="147">
        <f t="shared" si="23"/>
        <v>40000</v>
      </c>
    </row>
    <row r="50" spans="1:17" ht="33.75">
      <c r="A50" s="70"/>
      <c r="B50" s="70">
        <v>85412</v>
      </c>
      <c r="C50" s="83"/>
      <c r="D50" s="37" t="s">
        <v>156</v>
      </c>
      <c r="E50" s="88"/>
      <c r="F50" s="88"/>
      <c r="G50" s="88"/>
      <c r="H50" s="88"/>
      <c r="I50" s="88">
        <f aca="true" t="shared" si="24" ref="I50:O50">SUM(I51:I52)</f>
        <v>0</v>
      </c>
      <c r="J50" s="88">
        <f t="shared" si="24"/>
        <v>40000</v>
      </c>
      <c r="K50" s="88">
        <f t="shared" si="24"/>
        <v>40000</v>
      </c>
      <c r="L50" s="88">
        <f t="shared" si="24"/>
        <v>0</v>
      </c>
      <c r="M50" s="88">
        <f t="shared" si="24"/>
        <v>40000</v>
      </c>
      <c r="N50" s="88">
        <f t="shared" si="24"/>
        <v>0</v>
      </c>
      <c r="O50" s="88">
        <f t="shared" si="24"/>
        <v>40000</v>
      </c>
      <c r="P50" s="88">
        <f>SUM(P51:P52)</f>
        <v>0</v>
      </c>
      <c r="Q50" s="88">
        <f>SUM(Q51:Q52)</f>
        <v>40000</v>
      </c>
    </row>
    <row r="51" spans="1:17" ht="45">
      <c r="A51" s="70"/>
      <c r="B51" s="70"/>
      <c r="C51" s="83">
        <v>2320</v>
      </c>
      <c r="D51" s="37" t="s">
        <v>148</v>
      </c>
      <c r="E51" s="88"/>
      <c r="F51" s="88"/>
      <c r="G51" s="88"/>
      <c r="H51" s="88"/>
      <c r="I51" s="88">
        <v>0</v>
      </c>
      <c r="J51" s="88">
        <v>12000</v>
      </c>
      <c r="K51" s="88">
        <f>SUM(I51:J51)</f>
        <v>12000</v>
      </c>
      <c r="L51" s="88"/>
      <c r="M51" s="88">
        <f>SUM(K51:L51)</f>
        <v>12000</v>
      </c>
      <c r="N51" s="88"/>
      <c r="O51" s="88">
        <f>SUM(M51:N51)</f>
        <v>12000</v>
      </c>
      <c r="P51" s="88"/>
      <c r="Q51" s="88">
        <f>SUM(O51:P51)</f>
        <v>12000</v>
      </c>
    </row>
    <row r="52" spans="1:17" ht="56.25">
      <c r="A52" s="70"/>
      <c r="B52" s="70"/>
      <c r="C52" s="83">
        <v>2830</v>
      </c>
      <c r="D52" s="12" t="s">
        <v>282</v>
      </c>
      <c r="E52" s="88"/>
      <c r="F52" s="88"/>
      <c r="G52" s="88"/>
      <c r="H52" s="88"/>
      <c r="I52" s="88">
        <v>0</v>
      </c>
      <c r="J52" s="88">
        <v>28000</v>
      </c>
      <c r="K52" s="88">
        <f>SUM(I52:J52)</f>
        <v>28000</v>
      </c>
      <c r="L52" s="88"/>
      <c r="M52" s="88">
        <f>SUM(K52:L52)</f>
        <v>28000</v>
      </c>
      <c r="N52" s="88"/>
      <c r="O52" s="88">
        <f>SUM(M52:N52)</f>
        <v>28000</v>
      </c>
      <c r="P52" s="88"/>
      <c r="Q52" s="88">
        <f>SUM(O52:P52)</f>
        <v>28000</v>
      </c>
    </row>
    <row r="53" spans="1:17" ht="22.5" customHeight="1">
      <c r="A53" s="177">
        <v>926</v>
      </c>
      <c r="B53" s="177"/>
      <c r="C53" s="252"/>
      <c r="D53" s="209" t="s">
        <v>65</v>
      </c>
      <c r="E53" s="147"/>
      <c r="F53" s="147"/>
      <c r="G53" s="147">
        <f aca="true" t="shared" si="25" ref="G53:Q54">SUM(G54)</f>
        <v>0</v>
      </c>
      <c r="H53" s="147">
        <f t="shared" si="25"/>
        <v>6025</v>
      </c>
      <c r="I53" s="147">
        <f t="shared" si="25"/>
        <v>6025</v>
      </c>
      <c r="J53" s="147">
        <f t="shared" si="25"/>
        <v>0</v>
      </c>
      <c r="K53" s="147">
        <f t="shared" si="25"/>
        <v>6025</v>
      </c>
      <c r="L53" s="147">
        <f t="shared" si="25"/>
        <v>0</v>
      </c>
      <c r="M53" s="147">
        <f t="shared" si="25"/>
        <v>6025</v>
      </c>
      <c r="N53" s="147">
        <f t="shared" si="25"/>
        <v>0</v>
      </c>
      <c r="O53" s="147">
        <f t="shared" si="25"/>
        <v>6025</v>
      </c>
      <c r="P53" s="147">
        <f t="shared" si="25"/>
        <v>0</v>
      </c>
      <c r="Q53" s="147">
        <f t="shared" si="25"/>
        <v>6025</v>
      </c>
    </row>
    <row r="54" spans="1:17" ht="22.5" customHeight="1">
      <c r="A54" s="70"/>
      <c r="B54" s="70">
        <v>92605</v>
      </c>
      <c r="C54" s="83"/>
      <c r="D54" s="63" t="s">
        <v>66</v>
      </c>
      <c r="E54" s="88"/>
      <c r="F54" s="88"/>
      <c r="G54" s="88">
        <f t="shared" si="25"/>
        <v>0</v>
      </c>
      <c r="H54" s="88">
        <f t="shared" si="25"/>
        <v>6025</v>
      </c>
      <c r="I54" s="88">
        <f t="shared" si="25"/>
        <v>6025</v>
      </c>
      <c r="J54" s="88">
        <f t="shared" si="25"/>
        <v>0</v>
      </c>
      <c r="K54" s="88">
        <f t="shared" si="25"/>
        <v>6025</v>
      </c>
      <c r="L54" s="88">
        <f t="shared" si="25"/>
        <v>0</v>
      </c>
      <c r="M54" s="88">
        <f t="shared" si="25"/>
        <v>6025</v>
      </c>
      <c r="N54" s="88">
        <f t="shared" si="25"/>
        <v>0</v>
      </c>
      <c r="O54" s="88">
        <f t="shared" si="25"/>
        <v>6025</v>
      </c>
      <c r="P54" s="88">
        <f t="shared" si="25"/>
        <v>0</v>
      </c>
      <c r="Q54" s="88">
        <f t="shared" si="25"/>
        <v>6025</v>
      </c>
    </row>
    <row r="55" spans="1:17" ht="22.5" customHeight="1">
      <c r="A55" s="70"/>
      <c r="B55" s="70"/>
      <c r="C55" s="83">
        <v>4170</v>
      </c>
      <c r="D55" s="12" t="s">
        <v>477</v>
      </c>
      <c r="E55" s="88"/>
      <c r="F55" s="88"/>
      <c r="G55" s="88">
        <v>0</v>
      </c>
      <c r="H55" s="88">
        <v>6025</v>
      </c>
      <c r="I55" s="88">
        <f>SUM(G55:H55)</f>
        <v>6025</v>
      </c>
      <c r="J55" s="88"/>
      <c r="K55" s="88">
        <f>SUM(I55:J55)</f>
        <v>6025</v>
      </c>
      <c r="L55" s="88"/>
      <c r="M55" s="88">
        <f>SUM(K55:L55)</f>
        <v>6025</v>
      </c>
      <c r="N55" s="88"/>
      <c r="O55" s="88">
        <f>SUM(M55:N55)</f>
        <v>6025</v>
      </c>
      <c r="P55" s="88"/>
      <c r="Q55" s="88">
        <f>SUM(O55:P55)</f>
        <v>6025</v>
      </c>
    </row>
    <row r="56" spans="1:17" ht="24.75" customHeight="1">
      <c r="A56" s="253"/>
      <c r="B56" s="253"/>
      <c r="C56" s="253"/>
      <c r="D56" s="4" t="s">
        <v>67</v>
      </c>
      <c r="E56" s="17">
        <f>E31+E17+E14</f>
        <v>330000</v>
      </c>
      <c r="F56" s="17">
        <f>F31+F17+F14</f>
        <v>0</v>
      </c>
      <c r="G56" s="17">
        <f>G31+G17+G14+G53</f>
        <v>330000</v>
      </c>
      <c r="H56" s="17">
        <f>H31+H17+H14+H53</f>
        <v>0</v>
      </c>
      <c r="I56" s="17">
        <f aca="true" t="shared" si="26" ref="I56:O56">I31+I17+I14+I53+I49</f>
        <v>330000</v>
      </c>
      <c r="J56" s="17">
        <f t="shared" si="26"/>
        <v>0</v>
      </c>
      <c r="K56" s="17">
        <f t="shared" si="26"/>
        <v>330000</v>
      </c>
      <c r="L56" s="17">
        <f t="shared" si="26"/>
        <v>0</v>
      </c>
      <c r="M56" s="17">
        <f t="shared" si="26"/>
        <v>330000</v>
      </c>
      <c r="N56" s="17">
        <f t="shared" si="26"/>
        <v>9145</v>
      </c>
      <c r="O56" s="17">
        <f t="shared" si="26"/>
        <v>339145</v>
      </c>
      <c r="P56" s="17">
        <f>P31+P17+P14+P53+P49</f>
        <v>0</v>
      </c>
      <c r="Q56" s="17">
        <f>Q31+Q17+Q14+Q53+Q49</f>
        <v>339145</v>
      </c>
    </row>
  </sheetData>
  <sheetProtection/>
  <mergeCells count="3">
    <mergeCell ref="A5:Q5"/>
    <mergeCell ref="A6:Q6"/>
    <mergeCell ref="A12:Q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2010-11-30T11:34:41Z</cp:lastPrinted>
  <dcterms:created xsi:type="dcterms:W3CDTF">2002-10-21T08:56:44Z</dcterms:created>
  <dcterms:modified xsi:type="dcterms:W3CDTF">2010-12-13T14:27:54Z</dcterms:modified>
  <cp:category/>
  <cp:version/>
  <cp:contentType/>
  <cp:contentStatus/>
</cp:coreProperties>
</file>