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 " sheetId="6" r:id="rId6"/>
  </sheets>
  <definedNames>
    <definedName name="_xlnm.Print_Area" localSheetId="5">'zał. nr 6 '!$A:$IV</definedName>
    <definedName name="_xlnm.Print_Titles" localSheetId="0">'zał. nr 1'!$6:$6</definedName>
    <definedName name="_xlnm.Print_Titles" localSheetId="1">'zał. nr 2'!$6:$6</definedName>
    <definedName name="_xlnm.Print_Titles" localSheetId="2">'zał. nr 3'!$32:$32</definedName>
    <definedName name="_xlnm.Print_Titles" localSheetId="3">'zał. nr 4'!$8:$8</definedName>
    <definedName name="_xlnm.Print_Titles" localSheetId="4">'zał. nr 5'!$13:$13</definedName>
    <definedName name="_xlnm.Print_Titles" localSheetId="5">'zał. nr 6 '!$7:$7</definedName>
  </definedNames>
  <calcPr fullCalcOnLoad="1"/>
</workbook>
</file>

<file path=xl/sharedStrings.xml><?xml version="1.0" encoding="utf-8"?>
<sst xmlns="http://schemas.openxmlformats.org/spreadsheetml/2006/main" count="1391" uniqueCount="487">
  <si>
    <t>dział</t>
  </si>
  <si>
    <t>rozdział</t>
  </si>
  <si>
    <t>§</t>
  </si>
  <si>
    <t>nazwa</t>
  </si>
  <si>
    <t>010</t>
  </si>
  <si>
    <t>Rolnictwo i łowiectwo</t>
  </si>
  <si>
    <t>pozostała działalność</t>
  </si>
  <si>
    <t>wpływy z innych lokalnych opłat pobieranych przez jednostki samorządu terytorialnego na podstawie odrębnych ustaw</t>
  </si>
  <si>
    <t>700</t>
  </si>
  <si>
    <t>Gospodarka mieszkaniowa</t>
  </si>
  <si>
    <t>70005</t>
  </si>
  <si>
    <t>pozostałe odsetki</t>
  </si>
  <si>
    <t>wpływy z różnych dochodów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</si>
  <si>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</si>
  <si>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</si>
  <si>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</si>
  <si>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</si>
  <si>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</si>
  <si>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</si>
  <si>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</si>
  <si>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 xml:space="preserve">Urzędy naczelnych organów władzy państwowej, kontroli i ochrony prawa oraz sądownictwa 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</si>
  <si>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</si>
  <si>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</si>
  <si>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</si>
  <si>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</si>
  <si>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</si>
  <si>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756</t>
  </si>
  <si>
    <t>Dochody od osób prawnych, od osób fizycznych i od innych jednostek nie posiadających osobowości prawnej</t>
  </si>
  <si>
    <t xml:space="preserve">wpływy z podatku dochodowego od osób fizycznych </t>
  </si>
  <si>
    <t>podatek od działalności gospodarczej osób fizycznych, opłacany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</si>
  <si>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</si>
  <si>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</si>
  <si>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</si>
  <si>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</si>
  <si>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</si>
  <si>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wpływy z opłaty eksploatacyjnej</t>
  </si>
  <si>
    <t>wpływy z opłaty targowej</t>
  </si>
  <si>
    <t>podatek od czynności cywilnoprawnych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</si>
  <si>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</si>
  <si>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</si>
  <si>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</si>
  <si>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</si>
  <si>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</si>
  <si>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</si>
  <si>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</si>
  <si>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</si>
  <si>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</si>
  <si>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</si>
  <si>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</si>
  <si>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subwencje ogólne z budżetu państwa</t>
  </si>
  <si>
    <t>różne rozliczenia finansowe</t>
  </si>
  <si>
    <t>szkoły podstawowe</t>
  </si>
  <si>
    <t>gimnazja</t>
  </si>
  <si>
    <t>Ochrona zdrowia</t>
  </si>
  <si>
    <t>przeciwdziałanie alkoholizmowi</t>
  </si>
  <si>
    <t>dochody z najmu i dzierżawy składników majątkowych Skarbu Państwa, jednostek samorządu terytorialnego lub  innych jednostek zaliczanych do sektora finansów publicznych oraz innych umów o podobnym charakterze</t>
  </si>
  <si>
    <t>dodatki mieszkaniowe</t>
  </si>
  <si>
    <t>ośrodki pomocy społecznej</t>
  </si>
  <si>
    <t>Edukacyjna opieka wychowawcza</t>
  </si>
  <si>
    <t>świetlice szkolne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</si>
  <si>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</si>
  <si>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</si>
  <si>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</si>
  <si>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</si>
  <si>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</si>
  <si>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</si>
  <si>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 xml:space="preserve">Kultura i ochrona dziedzictwa narodowego 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</si>
  <si>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</si>
  <si>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</si>
  <si>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</si>
  <si>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</si>
  <si>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</si>
  <si>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</si>
  <si>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</si>
  <si>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</si>
  <si>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</si>
  <si>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</si>
  <si>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</si>
  <si>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</si>
  <si>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</si>
  <si>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</si>
  <si>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</si>
  <si>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</si>
  <si>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</si>
  <si>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</si>
  <si>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</si>
  <si>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</si>
  <si>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</si>
  <si>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</si>
  <si>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</si>
  <si>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</si>
  <si>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podróże służbowe zagraniczne</t>
  </si>
  <si>
    <t>różne opłaty i składki</t>
  </si>
  <si>
    <t>zakup energii</t>
  </si>
  <si>
    <t>wydatki na zakupy inwestycyjne jednostek budżetowych</t>
  </si>
  <si>
    <t>wynagrodzenia agencyjno-prowizyjne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</si>
  <si>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</si>
  <si>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</si>
  <si>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</si>
  <si>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</si>
  <si>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</si>
  <si>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</si>
  <si>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</si>
  <si>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</si>
  <si>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</si>
  <si>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</si>
  <si>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</si>
  <si>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</si>
  <si>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</si>
  <si>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</si>
  <si>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</si>
  <si>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</si>
  <si>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>odpisy na zakłdowy fundusz świadczeń socjalnych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</si>
  <si>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</si>
  <si>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</si>
  <si>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</si>
  <si>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</si>
  <si>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</si>
  <si>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</si>
  <si>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</si>
  <si>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</si>
  <si>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>zakup pomocy naukowych, dydaktycznych i książek</t>
  </si>
  <si>
    <t xml:space="preserve">przedszkola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</si>
  <si>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</si>
  <si>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</si>
  <si>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</si>
  <si>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</si>
  <si>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</si>
  <si>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</si>
  <si>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</si>
  <si>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</si>
  <si>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</si>
  <si>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</si>
  <si>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</si>
  <si>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</si>
  <si>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</si>
  <si>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</si>
  <si>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</si>
  <si>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</si>
  <si>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plan</t>
  </si>
  <si>
    <t xml:space="preserve">plan </t>
  </si>
  <si>
    <t>wpływy z różnych opłat</t>
  </si>
  <si>
    <t xml:space="preserve">wpływy z innych opłat stanowiacych dochody jednostek samorządu terytorialnego na podstawie ustaw </t>
  </si>
  <si>
    <t>opłaty na rzecz budżetu państwa</t>
  </si>
  <si>
    <t>Rady Miejskiej Trzcianki</t>
  </si>
  <si>
    <t>dokształcanie i doskonalenie nauczycieli</t>
  </si>
  <si>
    <t>gospodarka gruntami i nieruchomościami</t>
  </si>
  <si>
    <t>rady gmin (miast i miast na prawach powiatu)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</si>
  <si>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</si>
  <si>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</si>
  <si>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</si>
  <si>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</si>
  <si>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</si>
  <si>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</si>
  <si>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</si>
  <si>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</si>
  <si>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kolonie i obozy  oraz inne formy wypoczynku dzieci i młodzieży szkolnej, a także szkolenia młodzieży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</si>
  <si>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</si>
  <si>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</si>
  <si>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</si>
  <si>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</si>
  <si>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</si>
  <si>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</si>
  <si>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</si>
  <si>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</si>
  <si>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</si>
  <si>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</si>
  <si>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</si>
  <si>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</si>
  <si>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</si>
  <si>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</si>
  <si>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</si>
  <si>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</si>
  <si>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</si>
  <si>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</si>
  <si>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</si>
  <si>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</si>
  <si>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</si>
  <si>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zakup środków żywności</t>
  </si>
  <si>
    <t>pobór podatków, opłat i niepodatkowych należności budżetowych</t>
  </si>
  <si>
    <t>koszty postępowania sądowego i prokuratorskiego</t>
  </si>
  <si>
    <t>0690</t>
  </si>
  <si>
    <t>część wyrównawcza subwencji ogólnej dla gmin</t>
  </si>
  <si>
    <t>75807</t>
  </si>
  <si>
    <t xml:space="preserve">Pomoc społeczna </t>
  </si>
  <si>
    <t>Pomoc społeczna</t>
  </si>
  <si>
    <t>Załącznik Nr 1</t>
  </si>
  <si>
    <t>Załącznik Nr 2</t>
  </si>
  <si>
    <t>Załącznik Nr 3</t>
  </si>
  <si>
    <t>dotacja podmiotowa z budżetu dla samorządowej instytucji kultury</t>
  </si>
  <si>
    <t xml:space="preserve"> wydatki osobowe niezaliczone do wynagrodzeń</t>
  </si>
  <si>
    <t xml:space="preserve">wynagrodzenia bezosobowe </t>
  </si>
  <si>
    <t xml:space="preserve">wpływy z podatku rolnego, podatku leśnego, podatku od czynności cywilnoprawnych, podatków i opłat lokalnych od osób prawnych i innych jednostek organizacyjnych </t>
  </si>
  <si>
    <t>wynagrodzenia bezosobowe</t>
  </si>
  <si>
    <t>0830</t>
  </si>
  <si>
    <t>wpływy z usług</t>
  </si>
  <si>
    <t>wynagrodzenie bezosobowe</t>
  </si>
  <si>
    <t>instytucje kultury fizycznej</t>
  </si>
  <si>
    <t>zakup usług zdrowotnych</t>
  </si>
  <si>
    <t>różne jednostki obsługi gospodarki mieszkaniowej</t>
  </si>
  <si>
    <t>odsetki od nieterminowych wpłat 
z tytułu podatków i opłat</t>
  </si>
  <si>
    <t xml:space="preserve">pozostała działalność </t>
  </si>
  <si>
    <t>oddziały przedszkolne w szkołach podstawowych</t>
  </si>
  <si>
    <t>promocja jednostek samorządu terytorialnego</t>
  </si>
  <si>
    <t>zakup usług dostępu do sieci Internet</t>
  </si>
  <si>
    <t>zakup usług dostepu do sieci Internet</t>
  </si>
  <si>
    <t>wydatki osobowe niezaliczone do wynagrodzeń</t>
  </si>
  <si>
    <t>wpływy z opłat za zarząd, użytkowanie i użytkowanie wieczyste nieruchomości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</si>
  <si>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</si>
  <si>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</si>
  <si>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75831</t>
  </si>
  <si>
    <t>część równoważąca subwencji ogólnej dla gmin</t>
  </si>
  <si>
    <t>zakup usług medycznych</t>
  </si>
  <si>
    <t>składki na fundusz pracy</t>
  </si>
  <si>
    <t xml:space="preserve">      Ochrona zdrowia</t>
  </si>
  <si>
    <t>zasiłki i pomoc w naturze oraz składki na ubezpieczenia emerytalne i rentowe</t>
  </si>
  <si>
    <t>zwalczanie narkomanii</t>
  </si>
  <si>
    <t xml:space="preserve">do Uchwały Nr </t>
  </si>
  <si>
    <t xml:space="preserve">z dnia </t>
  </si>
  <si>
    <t>0760</t>
  </si>
  <si>
    <t xml:space="preserve">pomoc materialna dla uczniów </t>
  </si>
  <si>
    <t>stypendia dla uczniów</t>
  </si>
  <si>
    <t>dotacje celowe otrzymane z gminy na zadania bieżące realizowane na podstawie porozumień  (umów) między jednostkami samorządu terytorialnego</t>
  </si>
  <si>
    <t>Załącznik Nr 9</t>
  </si>
  <si>
    <t>fundusz obrotowy na koniec roku</t>
  </si>
  <si>
    <t>Nazwa jednostki</t>
  </si>
  <si>
    <t>Zakres dotacji</t>
  </si>
  <si>
    <t>Kwota dotacji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</si>
  <si>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</si>
  <si>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</si>
  <si>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</si>
  <si>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</si>
  <si>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>utrzymanie pracownika ZNP</t>
  </si>
  <si>
    <t>opłaty za administrowanie i czynsze za budynki, lokale i pomieszczenia garażowe</t>
  </si>
  <si>
    <t>01095</t>
  </si>
  <si>
    <t>0770</t>
  </si>
  <si>
    <t>wpływy z tytułu odpłatnego nabycia prawa własności oraz prawa użytkowania wieczystego nieruchomości</t>
  </si>
  <si>
    <t>wpływy z dywidend</t>
  </si>
  <si>
    <t>zakup leków, wyrobów medycznych i produktów biobójczych</t>
  </si>
  <si>
    <t>szkolenia pracowników niebędących członkami korpusu służby cywilnej</t>
  </si>
  <si>
    <t>wpływy z tytułu przekształcenia prawa użytkowania wieczystego przysługującego osobom fizycznym 
w prawo własności</t>
  </si>
  <si>
    <t>rekompensaty utraconych dochodów w podatkach
 i opłatach lokalnych</t>
  </si>
  <si>
    <t>zakup usług obejmujących wykonanie ekspertyz, analiz
 i opinii</t>
  </si>
  <si>
    <t>Dochody od osób prawnych, od osób fizycznych i od innych jednostek nieposiadających osobowości prawnej oraz wydatki związane 
z ich poborem</t>
  </si>
  <si>
    <t>rezerwa na inwestycje i zakupy inwestycyjne</t>
  </si>
  <si>
    <t>z dnia</t>
  </si>
  <si>
    <t>dotacja podmiotowa z budżetu dla publicznej jednostki systemu oświaty prowadzonej przez osobe prawną inną niż jadnostka samorządu terytorialnego lub przez osobę fizyczną</t>
  </si>
  <si>
    <t>zakup usług obejmujących wykonanie ekspertyz, analiz i opinii</t>
  </si>
  <si>
    <t>zakup worków na nieczystości</t>
  </si>
  <si>
    <t>zakup drzew i krzewów</t>
  </si>
  <si>
    <t>popularyzacja wiedzy o środowisku</t>
  </si>
  <si>
    <t>aktualizacja programu ochrony środowiska</t>
  </si>
  <si>
    <t>program usuwania azbestu</t>
  </si>
  <si>
    <t>nasadzenia drzew i krzewów</t>
  </si>
  <si>
    <t>wywóz kontenerów na wsiach</t>
  </si>
  <si>
    <t>0370</t>
  </si>
  <si>
    <t>opłata od posiadania psów</t>
  </si>
  <si>
    <t>wydatki na zakup i objęcie akcji, wniesienie wkładów do spółek prawa handlowego oraz na uzupełnienie funduszy statutowych banków państwowych i innych instytucji finansowych</t>
  </si>
  <si>
    <t>stypendia różne</t>
  </si>
  <si>
    <t xml:space="preserve">wpływy z podatku rolnego, podatku leśnego,podatku od spadków i darowizn, podatku od czynności cywilnoprawnych oraz podatków i opłat lokalnych od osób fizycznych 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</si>
  <si>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</si>
  <si>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</si>
  <si>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Rodzaj dotacji</t>
  </si>
  <si>
    <t>podmiotowa</t>
  </si>
  <si>
    <t>celowa</t>
  </si>
  <si>
    <t>zasiłki stałe</t>
  </si>
  <si>
    <t>01009</t>
  </si>
  <si>
    <t>Spółki wodne</t>
  </si>
  <si>
    <t>Rejonowy Związek Spółek Wodnych w Trzciance</t>
  </si>
  <si>
    <t>działalność instytucji kultury - porozumienie</t>
  </si>
  <si>
    <t>zakup taśmy przeciwko szkodnikom drzew</t>
  </si>
  <si>
    <t>rózne opłaty i składki</t>
  </si>
  <si>
    <t>dotacja celowa z budżetu na finansowanie lub dofinansowanie zadań zleconych do realizacji pozostałym jednostkom niezaliczanym do sektora finansów publicznych</t>
  </si>
  <si>
    <t>utrzymanie hali sportowo-widowiskowej przy L.O. 
w Trzciance</t>
  </si>
  <si>
    <t>Ośrodki pomocy społecznej</t>
  </si>
  <si>
    <t>dotacje celowe otrzymane z powiatu na zadania bieżące realizowane na podstawie porozumień (umów) między jednostkami samorządu terytorialnego</t>
  </si>
  <si>
    <t>grzywny, mandaty i inne kary pieniężne od osób fizycznych</t>
  </si>
  <si>
    <t>odsetki od nieterminowych wpłat z tytułu podatków i opłat</t>
  </si>
  <si>
    <t>wpływy z opłat za zezwolenia na sprzedaż napojów alkoholowych</t>
  </si>
  <si>
    <t>stołówki szkolne i przedszkolne</t>
  </si>
  <si>
    <t>dochody jednostek samorzadu terytorialnego związane z realizacją zadań z zakresu administracji rządowej oraz innych zadań zleconych ustawami</t>
  </si>
  <si>
    <t>dotacje na realizację zadań z zakresu administracji rządowej</t>
  </si>
  <si>
    <t>wydatki przeznaczone na realizację zadań z zakresu administracji rządowej</t>
  </si>
  <si>
    <t>skladki na ubezpieczenia społeczne</t>
  </si>
  <si>
    <t>Zestawienie planowanych kwot dotacji udzielanych z budżetu w 2011 roku
 jednostkom sektora finansów publicznych i jednostkom spoza sektora finansów publicznych</t>
  </si>
  <si>
    <t xml:space="preserve">Dochody z tytułu opłat za wydawanie zezwoleń na sprzedaż napojów alkoholowych </t>
  </si>
  <si>
    <t>Plan dochodów budżetu gminy Trzcianka na 2011 rok</t>
  </si>
  <si>
    <t xml:space="preserve">Plan wydatków budżetu gminy Trzcianka na 2011 rok </t>
  </si>
  <si>
    <t>opłaty z tytułu zakupu usług telekomunikacyjnych świadczonej w stacjonarnej publicznej sieci telefonicznej</t>
  </si>
  <si>
    <t>wpływy z opłat za wydawanie zezwoleń na sprzedaż napojów alkoholowych</t>
  </si>
  <si>
    <t>wpływy i wydatki związane z gromadzeniem środków z opłat i kar za korzystanie ze środowiska</t>
  </si>
  <si>
    <t>dotacja celowa na pomoc finansową udzielaną między jednostkami samorządu terytorialnego na dofinansowanie własnych zadań inwestycyjnych i zakupów inwestycyjnych</t>
  </si>
  <si>
    <t>Załacznik Nr 5</t>
  </si>
  <si>
    <t>pozostałe podatki na rzecz budżetów jednostek samorządu terytorialnego</t>
  </si>
  <si>
    <t>opłaty z tytułu zakupu usług telekomunikacyjnych świadczonych w stacjonarnej publicznej sieci telefonicznej</t>
  </si>
  <si>
    <t>opłaty z tytułu zakupu usług telekomunikacyjnych świadczonych w ruchomej publicznej sieci telefonicznej</t>
  </si>
  <si>
    <t>Ochrona powietrza atmosferycznego i klimatu</t>
  </si>
  <si>
    <t>opłaty na rzecz budżetów jednostek samorzadu terytorialnego</t>
  </si>
  <si>
    <t>drogi publiczne powiatowe</t>
  </si>
  <si>
    <t>1. Dotacje dla jednostek sektora finansów publicznych</t>
  </si>
  <si>
    <t>2. Dotacje dla jednostek spoza sektora finansów publicznych</t>
  </si>
  <si>
    <t>I. Dotacje na zadanie bieżące</t>
  </si>
  <si>
    <t>II. Dotacje na zadanie inwestycyjne</t>
  </si>
  <si>
    <t>Dotacje dla jednostek sektora finansów publicznych</t>
  </si>
  <si>
    <t>Starostwo Powiatu Czarnkowsko - Trzcianeckiego</t>
  </si>
  <si>
    <t>Podsumowanie II.</t>
  </si>
  <si>
    <t xml:space="preserve">Podsumowanie I. </t>
  </si>
  <si>
    <t>0360</t>
  </si>
  <si>
    <t>podatek od spadków i darowizn</t>
  </si>
  <si>
    <t xml:space="preserve">pomoc finansowa dla powatu czarnkowsko - trzcianeckiego na przebudowę drogi powiatowej nr 1317P od Smolarni do drogi wojewódzkiej nr 180  </t>
  </si>
  <si>
    <t>konserwacje i remonty rowów melioracyjnych będących własnością gminy Trzcianka</t>
  </si>
  <si>
    <t>prowadzenie niepublicznego punktu przedszkolnego</t>
  </si>
  <si>
    <t>Niepubliczny Punkt Przedszkolny "SŁONECZKO"</t>
  </si>
  <si>
    <t xml:space="preserve">Dochody i wydatki związane z realizacją zadań z zakresu administracji rządowej i innych zadań zleconych gminie odrębnymi ustawami w 2011 roku </t>
  </si>
  <si>
    <t>zakup pojemników na pety, makulaturę, szkło</t>
  </si>
  <si>
    <t>wywóz pojemników na szkłoi pety</t>
  </si>
  <si>
    <t>utrzymanie terenów zielonych nad jeziorem Sarcz, Logo, Park Grottgera</t>
  </si>
  <si>
    <t>zakup worków na odchody psów i innych zwierząt domowych</t>
  </si>
  <si>
    <t>składki na Fundusz Emerytur Pomostowych</t>
  </si>
  <si>
    <t>odsetki od samorządowych papierów wartościowych lub zaciągniętych przez jednostkę samorządu terytorialnego kredytów i pożyczek</t>
  </si>
  <si>
    <t>dotacja podmiotowa z budżetu dla niepublicznej jednostki systemu oświaty</t>
  </si>
  <si>
    <t xml:space="preserve">wydatki osobowe niezaliczone do wynagordzeń </t>
  </si>
  <si>
    <t>1. Dochody</t>
  </si>
  <si>
    <t>2. Wydatki</t>
  </si>
  <si>
    <t>Niepubliczny Punkt Przedszkolny "Wesoła farma" 
w Smolarnii</t>
  </si>
  <si>
    <t xml:space="preserve">pomoc finansowa dla powatu czarnkowsko - trzcianeckiego na na przebudowę drogi powiatowej nr 1316P Straduń - Trzcianka </t>
  </si>
  <si>
    <t>Załącznik Nr 7</t>
  </si>
  <si>
    <t>Wydatki na realizację zadań określonych w programie profilaktyki i rozwiązywania problemów alkoholowych oraz programu przeciwdziałania narkomanii</t>
  </si>
  <si>
    <t xml:space="preserve">Plan na 2011 rok dochodów z tytułu opłat za wydawanie zezwoleń na sprzedaż napojów alkoholowych oraz wydatków na realizację zadań określonych w programie profilaktyki i rozwiązywania problemów alkoholowych oraz programu przeciwdziałania narkomanii </t>
  </si>
  <si>
    <t xml:space="preserve">Plan na 2011 rok dochodów z wpływów z opłat i kar za korzystanie ze środowiska oraz plan wydatków sfinansowanych z tych dochodów </t>
  </si>
  <si>
    <t xml:space="preserve">Zespół Szkół Katolickich im. św. Siostry Faustyny 
w Trzciance  </t>
  </si>
  <si>
    <t>prowadzenie Publicznej Katolickiej Szkoły Podstawowej</t>
  </si>
  <si>
    <t>prowadzenie Katolickiego Publicznego Gimnazjum</t>
  </si>
  <si>
    <t>prowadzenie Oddziału Przedszkolnego przy Publicznej Katolickiej Szkole Podstawowej</t>
  </si>
  <si>
    <t xml:space="preserve">Zespół Szkół Katolickich im. Św. Siostry Faustyny 
w Trzciance  </t>
  </si>
  <si>
    <t>Razem  I. + II.</t>
  </si>
  <si>
    <t>zmiany</t>
  </si>
  <si>
    <t>zmiana</t>
  </si>
  <si>
    <t>wybory do Sejmu i Senatu</t>
  </si>
  <si>
    <t>pozostałe zadania w zakresie kultury</t>
  </si>
  <si>
    <t>porozumienie</t>
  </si>
  <si>
    <t>dożywianie dotacja</t>
  </si>
  <si>
    <t>wybory dotacja</t>
  </si>
  <si>
    <t>Pozostałe zadania w zakresie polityki społecznej</t>
  </si>
  <si>
    <t>dotacja celowa na pomoc finansową udzielaną między jednostkami samorządu terytorialnego na dofinansowaniewłasnych zadań bieżących</t>
  </si>
  <si>
    <t>dotacje celowe przekazane gminie na zadania bieżące realizowane na podstawie porozumień (umów) między jednostkami samorządu terytorialnego</t>
  </si>
  <si>
    <t>gmina Piła</t>
  </si>
  <si>
    <t>dofinansowanie działalności Warsztatów Terapii Zajęciowej</t>
  </si>
  <si>
    <t>refundacja kosztów ponoszonych przez gminę Piła na dzieci będące mieszkańcami gminy Trzcianka a uczęszczające do pilskich niepublicznych przedszkoli</t>
  </si>
  <si>
    <t>Rehabilitacja zawodowa i społeczna osób niepełnosprawnych</t>
  </si>
  <si>
    <t xml:space="preserve">Kultura fizyczna </t>
  </si>
  <si>
    <t xml:space="preserve">zadania w zakresie kultury fizycznej </t>
  </si>
  <si>
    <t>straż gminna (miejska)</t>
  </si>
  <si>
    <t>dotacja dla powiatu czarnkowsko - trzcianeckiego na zakup sprzętu hydraulicznego dla Państwowej Straży Pożarnej</t>
  </si>
  <si>
    <t>dotacje celowe przekazane dla powiatu na inwestycje i zakupy inwestycyjne realizowane na podstawie porozumień (umów) między jednostkami samorządu terytorialnego</t>
  </si>
  <si>
    <t>Komenady powiatowe Państwowej Straży Pożarnej</t>
  </si>
  <si>
    <t>do Uchwały Nr VII/33/11</t>
  </si>
  <si>
    <t>z dnia 14 lutego 2011 r.</t>
  </si>
  <si>
    <t>zadania własne powiatu czarnkowsko - trzcianeckiego 
z zakresu kultury na podstawie porozumienia</t>
  </si>
  <si>
    <t>obiekty sportowe</t>
  </si>
  <si>
    <t>rezerwa na realizacje programu budowa przydomowych oczyszczalni ścieków</t>
  </si>
  <si>
    <t>rezerwy</t>
  </si>
  <si>
    <t>zarządzanie kryzysowe</t>
  </si>
  <si>
    <t>organizacja ogólnopolskiego turnieju szachowego pn. "I Memoriał im. Ferdynanda Dziedzica" - zadanie związane z promocją gminy poprzez sport na podstawie poruzumienia</t>
  </si>
  <si>
    <t>zadania związane z promocją gminy poprzez kulturę na podstawie porozumienia</t>
  </si>
  <si>
    <t xml:space="preserve">pomoc finansowa dla powiatu czarnkowsko - trzcianeckiego na dofinansowanie kosztów pobytu mieszkańców Trzcianki z Domach Pomocy Społecznej </t>
  </si>
  <si>
    <t>organizacja zajęć ogólnorozwojowych z elementami wsólzawodnictwa sportowego prowadzonych w gminnych szkołach przez uczniowskie kluby sportowe</t>
  </si>
  <si>
    <t>Uczniowski Klub Sportowy "Relax" przy SP 2 Trzcianka</t>
  </si>
  <si>
    <t>Uczniowski klub Sportowy "Dysk" przy SP 3 Trzcianka</t>
  </si>
  <si>
    <t>Uczniowsko klub Sportowy "Forma" przy G - 1 Trzcianka</t>
  </si>
  <si>
    <t>prowadzenie zajęć treningowych na terenie miasta i gminy Trzcianka oraz udział w zawodach i rozgrywkach sportowych</t>
  </si>
  <si>
    <t>Miejski Klub Sportowy przy Młodzieżowym Domu Kultury w Trzciance</t>
  </si>
  <si>
    <t>Miejski Klub Sportowy "Lubuszanin" Trzcianka</t>
  </si>
  <si>
    <t>UKS "Fortuna" Biała</t>
  </si>
  <si>
    <t>UKS "Kajak" Trzcianka</t>
  </si>
  <si>
    <t>Gminne Stowarzyszenie Ludowych Zespołów Sportowych Trzcianka</t>
  </si>
  <si>
    <t>Ludowy Klub Sportowy "Zuch" Rychlik</t>
  </si>
  <si>
    <t>propagowanie kultury fizycznej i sportu wsród dzieci i młodzieży niepełnosprawnej zamieszkałej na terenie miasta i gminy Trzcianka</t>
  </si>
  <si>
    <t>Oddział Regionalny Olimpiady Specjalne - Sekcja "Olimpijczyk"</t>
  </si>
  <si>
    <t>Klub Sportowy TSD Sport</t>
  </si>
  <si>
    <t>Polska Federacja Podnoszenia Ciężarów "Masters"</t>
  </si>
  <si>
    <t>organizacja imprez, zawodów i rozgrywek sportowych</t>
  </si>
  <si>
    <t>ludowy klub Sportowy "Zuch" Rychlik</t>
  </si>
  <si>
    <t>Załacznik nr 2 do Zarządzenia nr 25/11</t>
  </si>
  <si>
    <t>Załącznik nr 5 do Uchwały Nr VII/33/11</t>
  </si>
  <si>
    <t>Burmistrza Trzcianki dnia 2.03.2011 r. zmianiający</t>
  </si>
  <si>
    <t>Rady Miejskiej Trzcianki z dnia 14.02.2011 r.</t>
  </si>
  <si>
    <t xml:space="preserve">Burmistrza Trzcianki dnia 2.03.2011 r. </t>
  </si>
  <si>
    <t>spis powszechny i inne</t>
  </si>
  <si>
    <t>Spis powszechny i inne</t>
  </si>
  <si>
    <t>dotacje celowe w ramach programów finansowanych z udziałem środków europejskich oraz środków, o których mowa w art.. 5 ust. 1 pkt 3 oraz ust. 3 pkt 5 i 6 ustawy , lub płatności w ramach budżetu środków europejskich</t>
  </si>
  <si>
    <t>środki na dofinansowanie własnych zadań bieżących gmin (związków gmin), powiatów (związków powiató), samorządów województw, pozyskane z innych żródeł</t>
  </si>
  <si>
    <t>wpłaty jednostek na państwowy fundusz celowy na finansowanie lub dofinansowanie zadań inwestycyjnych</t>
  </si>
  <si>
    <t>0960</t>
  </si>
  <si>
    <t>plan po zmianach</t>
  </si>
  <si>
    <t>plan
po zmianach</t>
  </si>
  <si>
    <t xml:space="preserve">Rady Miejskiej Trzcianki dnia 14.02.2011 r. </t>
  </si>
  <si>
    <t>Załacznik nr 3 do Uchwały Nr VII/33/11</t>
  </si>
  <si>
    <t>Załacznik Nr 4 do Uchwały Nr IX/44/11</t>
  </si>
  <si>
    <t>Rady Miejskiej Trzcianki dnia 24 marca 2011 r. zmianiający</t>
  </si>
  <si>
    <t>Załacznik nr 3 do Uchwały Nr IX/44/11</t>
  </si>
  <si>
    <t>do Uchwały Nr IX/44/11</t>
  </si>
  <si>
    <t>z dnia 24 marca 2011 r.</t>
  </si>
  <si>
    <t>z dnia 28 kwietnia 2011 r.</t>
  </si>
  <si>
    <t>pomoc materialna dla uczniów</t>
  </si>
  <si>
    <t>Załącznik nr 2</t>
  </si>
  <si>
    <t>do uchwały nr IX/44/11</t>
  </si>
  <si>
    <t xml:space="preserve">Rady Miejskiej Trzcianki </t>
  </si>
  <si>
    <t>do uchwały Nr …….</t>
  </si>
  <si>
    <t>plan 
po zmianach</t>
  </si>
  <si>
    <t xml:space="preserve">Rady Miejskiej Trzcianki dnia 24 marca 2011 r. </t>
  </si>
  <si>
    <t>dotacja celowa na pomc finansową na zakup usług w zakresie działań profilaktycznych dla osób nietrzeźwych</t>
  </si>
  <si>
    <t>Załacznik Nr 9 do Uchwały Nr VII/33/11</t>
  </si>
  <si>
    <t xml:space="preserve">Rady Miejskiej Trzcianki dnia 14 lutego 2011 r. </t>
  </si>
  <si>
    <t>dotacje celowe z budżetu jednostki samorzadu terytorialnego, udzielone w trybie art.. 221 ustawy, na finansowanie lub dofinansowanie zadań zleconych do realizacji organizacjom prowadzącym działalność pożytku publicznego</t>
  </si>
  <si>
    <t>Caritas Parafii p.w. Św. Jana Chrzciciela</t>
  </si>
  <si>
    <t>prowadzenie świetlic wychowawczych</t>
  </si>
  <si>
    <t>Załacznik Nr 7 do Uchwały Nr VII/33/11</t>
  </si>
  <si>
    <t>dotacja celowa na pomoc finansową udzielaną między jednostkami samorządu terytorialnego na dofinansowanie własnych zadań bieżących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</si>
  <si>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</si>
  <si>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dopłaty w spółkach prawa handlowego</t>
  </si>
  <si>
    <t>Załacznik nr 4 do Uchwały Nr X/56/11</t>
  </si>
  <si>
    <t>Rady Miejskiej Trzcianki dnia 28 kwietnia 2011 r. zmianiający</t>
  </si>
  <si>
    <t>Załacznik Nr 3 do Uchwały Nr X/56/11</t>
  </si>
  <si>
    <t>Załacznik Nr 6 do Uchwały Nr X/56/11</t>
  </si>
  <si>
    <t xml:space="preserve">Rady Miejskiej Trzcianki dnia 28 kwietnia 2011 r. </t>
  </si>
  <si>
    <t>załącznik nr 2 do uchwały Nr X/56/11</t>
  </si>
  <si>
    <t>Rady Miejskiej Trzcianki z dnia 28 kwietnia 2011 r.</t>
  </si>
  <si>
    <t>dotacje celowe otrzymane z budżetu państwa na realizację inwestycji i zakupów inwestycyjnych własnych gmin (związków gmin)</t>
  </si>
  <si>
    <t>Załacznik Nr 3 do Zarządzenia Nr 56/11</t>
  </si>
  <si>
    <t>Burmistrza Trzcianki dnia 25 maja 2011 r. zmianiający</t>
  </si>
  <si>
    <t>umowa zlecenie</t>
  </si>
  <si>
    <t xml:space="preserve">plan po zmianach </t>
  </si>
  <si>
    <t>Załacznik Nr 5 do Zarządzenia Nr 56/11</t>
  </si>
  <si>
    <t>Burmistrza Trzcianki z dnia 25 maja 2011 r. zmianiający</t>
  </si>
  <si>
    <t>25.05.2011 r.</t>
  </si>
  <si>
    <t xml:space="preserve">do Zarządzenia Nr 56/11 </t>
  </si>
  <si>
    <t>z dnia 25 maja 2011 r.</t>
  </si>
  <si>
    <t>30.06.2011 r.</t>
  </si>
  <si>
    <t>Burmistrza Trzcianki</t>
  </si>
  <si>
    <t>Załącznik nr 2 do Zarządzenia Nr 56/11</t>
  </si>
  <si>
    <t>Burmistrza Trzcianki z dnia 25 maja 2011 r. zmieniający</t>
  </si>
  <si>
    <t xml:space="preserve">Załącznik nr 2 do Uchwały Nr </t>
  </si>
  <si>
    <t>Rady Miejskiej Trzcianki z dnia 30 czerwca 2011 r. zmieniający</t>
  </si>
  <si>
    <t>załącznik nr 2 do Zarządzenia Nr 56/11</t>
  </si>
  <si>
    <t>Burmistrza Trzcianki z dnia 25 maja 2011 r.</t>
  </si>
  <si>
    <t xml:space="preserve">Burmistrza Trzcianki dnia 25 maja 2011 r. </t>
  </si>
  <si>
    <t xml:space="preserve">Burmistrza Trzcianki z dnia 25 maja 2011 r. </t>
  </si>
  <si>
    <t>Ochotnicze Straże Pożarne</t>
  </si>
  <si>
    <t>zakup sprzętu, odzieży ochronnej i umundurowania</t>
  </si>
  <si>
    <t>pomoc finansowa Powiatowi Czarnkowsko - Trzcianeckiemu na realizację zadania związanego z likidacją wyrobów zawierających azbest na terenie Powiatu Czarnkowsko - Trzcianeckiego</t>
  </si>
  <si>
    <t>plan  
po zmianach</t>
  </si>
  <si>
    <t>dotacje otrzymane z państwowych funduszy celowych na realizację zadań bieżących jednostek sektora finansów publicznych</t>
  </si>
  <si>
    <t>Kultura fizyczna</t>
  </si>
  <si>
    <t>pomoc finansowa Powiatowi Czarnkowsko - Trzcianeckiemu na realizację zadania związanego z likwidacją wyrobów zawierających azbest na terenie Powiatu Czarnkowsko - Trzcianeckiego</t>
  </si>
  <si>
    <t>Załacznik Nr 3 do Uchwały Nr XIII/90/11</t>
  </si>
  <si>
    <t>Rady Miejskiej Trzcianki dnia 30 czerwca 2011 r. zmianiający</t>
  </si>
  <si>
    <t>Załacznik nr 4 do Uchwały Nr XIII/90/11</t>
  </si>
  <si>
    <t>Rady Miejskiej Trzcianki z dnia 30 czerwca 2011r. zmianiający</t>
  </si>
  <si>
    <t>Załacznik Nr 7 do Uchwały Nr XIII/90/11</t>
  </si>
  <si>
    <t>Rady Miejskiej Trzcianki z dnia 30 czerwca 2011 r.</t>
  </si>
  <si>
    <t xml:space="preserve">Rady Miejskiej Trzcianki dnia 30 czerwca 2011 r. </t>
  </si>
  <si>
    <t xml:space="preserve">Kwota </t>
  </si>
  <si>
    <t>Rady Miejskiej Trzcianki dnia 30 czerwca 2011 r.</t>
  </si>
  <si>
    <t xml:space="preserve">Rady Miejskiej Trzcianki z dnia 30 czerwca 2011r. </t>
  </si>
  <si>
    <t>Burmistrza Trzcianki z dnia 29 lipca 2011r. zmianiający</t>
  </si>
  <si>
    <t>Burmistrza Trzcianki z dnia 29 lipca 2011 r. zmianiający</t>
  </si>
  <si>
    <t>Burmistrza Trzcianki z dnia 29 lipca 2011 r. zmieniający</t>
  </si>
  <si>
    <t>Załącznik nr 2 do Uchwały Nr XIII/90/11</t>
  </si>
  <si>
    <t>nagrody o charakterze szczególnym neizaliczone do wynagrodzeń</t>
  </si>
  <si>
    <t>nagordy o charakterze szczególnym niezaliczone do wynagrodzeń</t>
  </si>
  <si>
    <t>Burmistrza Trzcianki dnia 29 lipca 2011 r. zmianiający</t>
  </si>
  <si>
    <t>Stowarzyszenie 'Pomagajmy dzieciom"</t>
  </si>
  <si>
    <t>organizacja wypoczynku letniego dla dzieci z rodzin zagrożonych patologią społeczną</t>
  </si>
  <si>
    <t>Polskie Towarzystwo Krajoznawcze</t>
  </si>
  <si>
    <t>Załacznik nr 4 do Zarządzenia Nr 77/11</t>
  </si>
  <si>
    <t>Załacznik Nr 3 do Zarządzenia Nr 77/11</t>
  </si>
  <si>
    <t xml:space="preserve">Załacznik Nr 5 do Zarządzenia Nr 77/11 </t>
  </si>
  <si>
    <t>Załacznik Nr 6 do Zarządzenia Nr 77/11</t>
  </si>
  <si>
    <t xml:space="preserve">Załącznik Nr 1 do Zarządzenia Nr 77/11 </t>
  </si>
  <si>
    <t>Załącznik Nr 1 do uchwały Nr XIII/90/11</t>
  </si>
  <si>
    <t>otrzymane spadki, zapisy i darowizny w postaci pieniężnej</t>
  </si>
  <si>
    <t>inne formy pomocy dla uczniów</t>
  </si>
  <si>
    <t>dotacje celowe z budżetu na finansowanie lub dofinansowanie zadań zleconych do realizacji stowarzyszeniom</t>
  </si>
  <si>
    <t>zakup usług obejmujących wykonanie eksperyt, analiz i opinii</t>
  </si>
  <si>
    <t>dotacje celowe z budżetu jednostki samorzadu terytorialnego, udzielone w trybie art. 221 ustawy, na finansowanie lub dofinansowanie zadań zleconych do realizacji organizacjom prowadzącym działalność pożytku publicznego</t>
  </si>
  <si>
    <t>Załącznik nr 2 do Zarządzenia Nr 77/11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</si>
</sst>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4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4" fontId="3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4" fontId="7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4" fontId="3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indent="1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 quotePrefix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0" fontId="2" fillId="33" borderId="11" xfId="0" applyFont="1" applyFill="1" applyBorder="1" applyAlignment="1" quotePrefix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164" fontId="8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2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51" fillId="33" borderId="10" xfId="0" applyFont="1" applyFill="1" applyBorder="1" applyAlignment="1" quotePrefix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0" fontId="53" fillId="0" borderId="0" xfId="0" applyFont="1" applyAlignment="1">
      <alignment/>
    </xf>
    <xf numFmtId="0" fontId="6" fillId="0" borderId="12" xfId="0" applyFont="1" applyFill="1" applyBorder="1" applyAlignment="1" quotePrefix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center" wrapText="1" indent="1"/>
    </xf>
    <xf numFmtId="4" fontId="3" fillId="0" borderId="0" xfId="0" applyNumberFormat="1" applyFont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" fontId="51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4" fontId="3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quotePrefix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horizontal="left" vertical="center" wrapText="1" indent="1"/>
    </xf>
    <xf numFmtId="4" fontId="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2" fillId="0" borderId="11" xfId="0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indent="18"/>
    </xf>
    <xf numFmtId="0" fontId="2" fillId="0" borderId="0" xfId="0" applyFont="1" applyAlignment="1">
      <alignment horizontal="left"/>
    </xf>
    <xf numFmtId="164" fontId="3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left" vertical="center" wrapText="1" indent="1"/>
    </xf>
    <xf numFmtId="0" fontId="3" fillId="0" borderId="11" xfId="0" applyFont="1" applyFill="1" applyBorder="1" applyAlignment="1" quotePrefix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PageLayoutView="0" workbookViewId="0" topLeftCell="A1">
      <selection activeCell="D155" sqref="D155"/>
    </sheetView>
  </sheetViews>
  <sheetFormatPr defaultColWidth="9.00390625" defaultRowHeight="12.75"/>
  <cols>
    <col min="1" max="1" width="5.25390625" style="9" customWidth="1"/>
    <col min="2" max="2" width="7.25390625" style="9" bestFit="1" customWidth="1"/>
    <col min="3" max="3" width="4.375" style="9" bestFit="1" customWidth="1"/>
    <col min="4" max="4" width="37.375" style="9" customWidth="1"/>
    <col min="5" max="5" width="17.375" style="30" hidden="1" customWidth="1"/>
    <col min="6" max="6" width="11.25390625" style="30" hidden="1" customWidth="1"/>
    <col min="7" max="7" width="18.00390625" style="30" hidden="1" customWidth="1"/>
    <col min="8" max="8" width="11.25390625" style="30" hidden="1" customWidth="1"/>
    <col min="9" max="9" width="17.625" style="30" hidden="1" customWidth="1"/>
    <col min="10" max="10" width="9.875" style="30" hidden="1" customWidth="1"/>
    <col min="11" max="11" width="19.00390625" style="30" hidden="1" customWidth="1"/>
    <col min="12" max="12" width="14.875" style="30" hidden="1" customWidth="1"/>
    <col min="13" max="13" width="14.125" style="30" hidden="1" customWidth="1"/>
    <col min="14" max="14" width="13.25390625" style="30" hidden="1" customWidth="1"/>
    <col min="15" max="15" width="13.625" style="30" customWidth="1"/>
    <col min="16" max="16" width="13.25390625" style="30" customWidth="1"/>
    <col min="17" max="17" width="13.625" style="30" customWidth="1"/>
  </cols>
  <sheetData>
    <row r="1" spans="1:17" ht="12.75">
      <c r="A1" s="55"/>
      <c r="B1" s="55"/>
      <c r="C1" s="55"/>
      <c r="D1" s="55"/>
      <c r="E1" s="56" t="s">
        <v>186</v>
      </c>
      <c r="F1" s="56"/>
      <c r="G1" s="56" t="s">
        <v>186</v>
      </c>
      <c r="H1" s="56"/>
      <c r="I1" s="56" t="s">
        <v>186</v>
      </c>
      <c r="J1" s="56"/>
      <c r="K1" s="56" t="s">
        <v>186</v>
      </c>
      <c r="L1" s="56"/>
      <c r="M1" s="56" t="s">
        <v>186</v>
      </c>
      <c r="N1" s="56"/>
      <c r="O1" s="56" t="s">
        <v>479</v>
      </c>
      <c r="P1" s="56"/>
      <c r="Q1" s="56"/>
    </row>
    <row r="2" spans="1:17" ht="12.75">
      <c r="A2" s="55"/>
      <c r="B2" s="55"/>
      <c r="C2" s="55"/>
      <c r="D2" s="55"/>
      <c r="E2" s="56" t="s">
        <v>217</v>
      </c>
      <c r="F2" s="56"/>
      <c r="G2" s="56" t="s">
        <v>356</v>
      </c>
      <c r="H2" s="56"/>
      <c r="I2" s="56" t="s">
        <v>401</v>
      </c>
      <c r="J2" s="56"/>
      <c r="K2" s="56" t="s">
        <v>217</v>
      </c>
      <c r="L2" s="56"/>
      <c r="M2" s="56" t="s">
        <v>436</v>
      </c>
      <c r="N2" s="56"/>
      <c r="O2" s="56" t="s">
        <v>467</v>
      </c>
      <c r="P2" s="56"/>
      <c r="Q2" s="56"/>
    </row>
    <row r="3" spans="1:17" ht="12.75">
      <c r="A3" s="55"/>
      <c r="B3" s="55"/>
      <c r="C3" s="55"/>
      <c r="D3" s="55"/>
      <c r="E3" s="56" t="s">
        <v>144</v>
      </c>
      <c r="F3" s="56"/>
      <c r="G3" s="56" t="s">
        <v>144</v>
      </c>
      <c r="H3" s="56"/>
      <c r="I3" s="56" t="s">
        <v>144</v>
      </c>
      <c r="J3" s="56"/>
      <c r="K3" s="56" t="s">
        <v>144</v>
      </c>
      <c r="L3" s="56"/>
      <c r="M3" s="56" t="s">
        <v>439</v>
      </c>
      <c r="N3" s="56"/>
      <c r="O3" s="56" t="s">
        <v>480</v>
      </c>
      <c r="P3" s="56"/>
      <c r="Q3" s="56"/>
    </row>
    <row r="4" spans="1:17" ht="12.75">
      <c r="A4" s="55"/>
      <c r="B4" s="55"/>
      <c r="C4" s="55"/>
      <c r="D4" s="55"/>
      <c r="E4" s="56" t="s">
        <v>218</v>
      </c>
      <c r="F4" s="56"/>
      <c r="G4" s="56" t="s">
        <v>357</v>
      </c>
      <c r="H4" s="56"/>
      <c r="I4" s="56" t="s">
        <v>402</v>
      </c>
      <c r="J4" s="56"/>
      <c r="K4" s="56" t="s">
        <v>403</v>
      </c>
      <c r="L4" s="56"/>
      <c r="M4" s="56" t="s">
        <v>437</v>
      </c>
      <c r="N4" s="56"/>
      <c r="O4" s="56" t="s">
        <v>460</v>
      </c>
      <c r="P4" s="56"/>
      <c r="Q4" s="56"/>
    </row>
    <row r="5" spans="1:17" ht="18.75" customHeight="1">
      <c r="A5" s="131" t="s">
        <v>286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 t="s">
        <v>435</v>
      </c>
      <c r="M5" s="131"/>
      <c r="N5" s="131" t="s">
        <v>438</v>
      </c>
      <c r="O5" s="131"/>
      <c r="P5" s="131"/>
      <c r="Q5" s="131"/>
    </row>
    <row r="6" spans="1:17" s="9" customFormat="1" ht="28.5" customHeight="1">
      <c r="A6" s="7" t="s">
        <v>0</v>
      </c>
      <c r="B6" s="6" t="s">
        <v>1</v>
      </c>
      <c r="C6" s="22" t="s">
        <v>2</v>
      </c>
      <c r="D6" s="7" t="s">
        <v>3</v>
      </c>
      <c r="E6" s="10" t="s">
        <v>139</v>
      </c>
      <c r="F6" s="10" t="s">
        <v>139</v>
      </c>
      <c r="G6" s="10" t="s">
        <v>139</v>
      </c>
      <c r="H6" s="10" t="s">
        <v>139</v>
      </c>
      <c r="I6" s="10" t="s">
        <v>139</v>
      </c>
      <c r="J6" s="10" t="s">
        <v>139</v>
      </c>
      <c r="K6" s="10" t="s">
        <v>139</v>
      </c>
      <c r="L6" s="10" t="s">
        <v>336</v>
      </c>
      <c r="M6" s="10" t="s">
        <v>139</v>
      </c>
      <c r="N6" s="10" t="s">
        <v>336</v>
      </c>
      <c r="O6" s="120" t="s">
        <v>140</v>
      </c>
      <c r="P6" s="10" t="s">
        <v>336</v>
      </c>
      <c r="Q6" s="120" t="s">
        <v>451</v>
      </c>
    </row>
    <row r="7" spans="1:17" s="179" customFormat="1" ht="24" customHeight="1">
      <c r="A7" s="97" t="s">
        <v>4</v>
      </c>
      <c r="B7" s="6"/>
      <c r="C7" s="22"/>
      <c r="D7" s="129" t="s">
        <v>5</v>
      </c>
      <c r="E7" s="19">
        <f aca="true" t="shared" si="0" ref="E7:Q7">SUM(E8)</f>
        <v>526000</v>
      </c>
      <c r="F7" s="19">
        <f t="shared" si="0"/>
        <v>0</v>
      </c>
      <c r="G7" s="19">
        <f t="shared" si="0"/>
        <v>526000</v>
      </c>
      <c r="H7" s="19">
        <f t="shared" si="0"/>
        <v>0</v>
      </c>
      <c r="I7" s="19">
        <f t="shared" si="0"/>
        <v>526000</v>
      </c>
      <c r="J7" s="19">
        <f t="shared" si="0"/>
        <v>0</v>
      </c>
      <c r="K7" s="19">
        <f t="shared" si="0"/>
        <v>526000</v>
      </c>
      <c r="L7" s="19">
        <f t="shared" si="0"/>
        <v>261638</v>
      </c>
      <c r="M7" s="19">
        <f t="shared" si="0"/>
        <v>787638</v>
      </c>
      <c r="N7" s="19">
        <f t="shared" si="0"/>
        <v>0</v>
      </c>
      <c r="O7" s="19">
        <f t="shared" si="0"/>
        <v>787638</v>
      </c>
      <c r="P7" s="19">
        <f t="shared" si="0"/>
        <v>0</v>
      </c>
      <c r="Q7" s="19">
        <f t="shared" si="0"/>
        <v>787638</v>
      </c>
    </row>
    <row r="8" spans="1:17" s="163" customFormat="1" ht="24" customHeight="1">
      <c r="A8" s="76"/>
      <c r="B8" s="74" t="s">
        <v>234</v>
      </c>
      <c r="C8" s="78"/>
      <c r="D8" s="130" t="s">
        <v>6</v>
      </c>
      <c r="E8" s="83">
        <f aca="true" t="shared" si="1" ref="E8:J8">SUM(E9:E10)</f>
        <v>526000</v>
      </c>
      <c r="F8" s="83">
        <f t="shared" si="1"/>
        <v>0</v>
      </c>
      <c r="G8" s="83">
        <f t="shared" si="1"/>
        <v>526000</v>
      </c>
      <c r="H8" s="83">
        <f t="shared" si="1"/>
        <v>0</v>
      </c>
      <c r="I8" s="83">
        <f t="shared" si="1"/>
        <v>526000</v>
      </c>
      <c r="J8" s="83">
        <f t="shared" si="1"/>
        <v>0</v>
      </c>
      <c r="K8" s="83">
        <f aca="true" t="shared" si="2" ref="K8:Q8">SUM(K9:K11)</f>
        <v>526000</v>
      </c>
      <c r="L8" s="83">
        <f t="shared" si="2"/>
        <v>261638</v>
      </c>
      <c r="M8" s="83">
        <f t="shared" si="2"/>
        <v>787638</v>
      </c>
      <c r="N8" s="83">
        <f t="shared" si="2"/>
        <v>0</v>
      </c>
      <c r="O8" s="83">
        <f t="shared" si="2"/>
        <v>787638</v>
      </c>
      <c r="P8" s="83">
        <f t="shared" si="2"/>
        <v>0</v>
      </c>
      <c r="Q8" s="83">
        <f t="shared" si="2"/>
        <v>787638</v>
      </c>
    </row>
    <row r="9" spans="1:17" s="163" customFormat="1" ht="60.75" customHeight="1">
      <c r="A9" s="76"/>
      <c r="B9" s="50"/>
      <c r="C9" s="77" t="s">
        <v>159</v>
      </c>
      <c r="D9" s="75" t="s">
        <v>55</v>
      </c>
      <c r="E9" s="137">
        <f>120000+6000</f>
        <v>126000</v>
      </c>
      <c r="F9" s="137"/>
      <c r="G9" s="137">
        <f>SUM(E9:F9)</f>
        <v>126000</v>
      </c>
      <c r="H9" s="137"/>
      <c r="I9" s="137">
        <f>SUM(G9:H9)</f>
        <v>126000</v>
      </c>
      <c r="J9" s="137"/>
      <c r="K9" s="137">
        <f>SUM(I9:J9)</f>
        <v>126000</v>
      </c>
      <c r="L9" s="137"/>
      <c r="M9" s="137">
        <f>SUM(K9:L9)</f>
        <v>126000</v>
      </c>
      <c r="N9" s="137"/>
      <c r="O9" s="137">
        <f>SUM(M9:N9)</f>
        <v>126000</v>
      </c>
      <c r="P9" s="137"/>
      <c r="Q9" s="137">
        <f>SUM(O9:P9)</f>
        <v>126000</v>
      </c>
    </row>
    <row r="10" spans="1:17" s="163" customFormat="1" ht="38.25" customHeight="1">
      <c r="A10" s="76"/>
      <c r="B10" s="50"/>
      <c r="C10" s="77" t="s">
        <v>235</v>
      </c>
      <c r="D10" s="75" t="s">
        <v>236</v>
      </c>
      <c r="E10" s="83">
        <v>400000</v>
      </c>
      <c r="F10" s="83"/>
      <c r="G10" s="137">
        <f>SUM(E10:F10)</f>
        <v>400000</v>
      </c>
      <c r="H10" s="83"/>
      <c r="I10" s="137">
        <f>SUM(G10:H10)</f>
        <v>400000</v>
      </c>
      <c r="J10" s="83"/>
      <c r="K10" s="137">
        <f>SUM(I10:J10)</f>
        <v>400000</v>
      </c>
      <c r="L10" s="83"/>
      <c r="M10" s="137">
        <f>SUM(K10:L10)</f>
        <v>400000</v>
      </c>
      <c r="N10" s="83"/>
      <c r="O10" s="137">
        <f>SUM(M10:N10)</f>
        <v>400000</v>
      </c>
      <c r="P10" s="83"/>
      <c r="Q10" s="137">
        <f>SUM(O10:P10)</f>
        <v>400000</v>
      </c>
    </row>
    <row r="11" spans="1:17" s="163" customFormat="1" ht="52.5" customHeight="1">
      <c r="A11" s="76"/>
      <c r="B11" s="50"/>
      <c r="C11" s="77">
        <v>2010</v>
      </c>
      <c r="D11" s="41" t="s">
        <v>208</v>
      </c>
      <c r="E11" s="83"/>
      <c r="F11" s="83"/>
      <c r="G11" s="137"/>
      <c r="H11" s="83"/>
      <c r="I11" s="137"/>
      <c r="J11" s="83"/>
      <c r="K11" s="137">
        <v>0</v>
      </c>
      <c r="L11" s="83">
        <v>261638</v>
      </c>
      <c r="M11" s="137">
        <f>SUM(K11:L11)</f>
        <v>261638</v>
      </c>
      <c r="N11" s="83"/>
      <c r="O11" s="137">
        <f>SUM(M11:N11)</f>
        <v>261638</v>
      </c>
      <c r="P11" s="83"/>
      <c r="Q11" s="137">
        <f>SUM(O11:P11)</f>
        <v>261638</v>
      </c>
    </row>
    <row r="12" spans="1:17" s="164" customFormat="1" ht="24" customHeight="1">
      <c r="A12" s="31" t="s">
        <v>8</v>
      </c>
      <c r="B12" s="4"/>
      <c r="C12" s="5"/>
      <c r="D12" s="32" t="s">
        <v>9</v>
      </c>
      <c r="E12" s="57">
        <f aca="true" t="shared" si="3" ref="E12:Q12">SUM(E13,)</f>
        <v>5407700</v>
      </c>
      <c r="F12" s="57">
        <f t="shared" si="3"/>
        <v>0</v>
      </c>
      <c r="G12" s="57">
        <f t="shared" si="3"/>
        <v>5407700</v>
      </c>
      <c r="H12" s="57">
        <f t="shared" si="3"/>
        <v>0</v>
      </c>
      <c r="I12" s="57">
        <f t="shared" si="3"/>
        <v>5407700</v>
      </c>
      <c r="J12" s="57">
        <f t="shared" si="3"/>
        <v>0</v>
      </c>
      <c r="K12" s="57">
        <f t="shared" si="3"/>
        <v>5407700</v>
      </c>
      <c r="L12" s="57">
        <f t="shared" si="3"/>
        <v>0</v>
      </c>
      <c r="M12" s="57">
        <f t="shared" si="3"/>
        <v>5407700</v>
      </c>
      <c r="N12" s="57">
        <f t="shared" si="3"/>
        <v>0</v>
      </c>
      <c r="O12" s="57">
        <f t="shared" si="3"/>
        <v>5407700</v>
      </c>
      <c r="P12" s="57">
        <f t="shared" si="3"/>
        <v>0</v>
      </c>
      <c r="Q12" s="57">
        <f t="shared" si="3"/>
        <v>5407700</v>
      </c>
    </row>
    <row r="13" spans="1:17" s="163" customFormat="1" ht="24" customHeight="1">
      <c r="A13" s="71"/>
      <c r="B13" s="72" t="s">
        <v>10</v>
      </c>
      <c r="C13" s="78"/>
      <c r="D13" s="75" t="s">
        <v>146</v>
      </c>
      <c r="E13" s="70">
        <f aca="true" t="shared" si="4" ref="E13:K13">SUM(E14:E18)</f>
        <v>5407700</v>
      </c>
      <c r="F13" s="70">
        <f t="shared" si="4"/>
        <v>0</v>
      </c>
      <c r="G13" s="70">
        <f t="shared" si="4"/>
        <v>5407700</v>
      </c>
      <c r="H13" s="70">
        <f t="shared" si="4"/>
        <v>0</v>
      </c>
      <c r="I13" s="70">
        <f t="shared" si="4"/>
        <v>5407700</v>
      </c>
      <c r="J13" s="70">
        <f t="shared" si="4"/>
        <v>0</v>
      </c>
      <c r="K13" s="70">
        <f t="shared" si="4"/>
        <v>5407700</v>
      </c>
      <c r="L13" s="70">
        <f aca="true" t="shared" si="5" ref="L13:Q13">SUM(L14:L18)</f>
        <v>0</v>
      </c>
      <c r="M13" s="70">
        <f t="shared" si="5"/>
        <v>5407700</v>
      </c>
      <c r="N13" s="70">
        <f t="shared" si="5"/>
        <v>0</v>
      </c>
      <c r="O13" s="70">
        <f t="shared" si="5"/>
        <v>5407700</v>
      </c>
      <c r="P13" s="70">
        <f t="shared" si="5"/>
        <v>0</v>
      </c>
      <c r="Q13" s="70">
        <f t="shared" si="5"/>
        <v>5407700</v>
      </c>
    </row>
    <row r="14" spans="1:17" s="163" customFormat="1" ht="24" customHeight="1">
      <c r="A14" s="71"/>
      <c r="B14" s="50"/>
      <c r="C14" s="77" t="s">
        <v>158</v>
      </c>
      <c r="D14" s="75" t="s">
        <v>207</v>
      </c>
      <c r="E14" s="70">
        <v>210000</v>
      </c>
      <c r="F14" s="70"/>
      <c r="G14" s="70">
        <f>SUM(E14:F14)</f>
        <v>210000</v>
      </c>
      <c r="H14" s="70"/>
      <c r="I14" s="70">
        <f>SUM(G14:H14)</f>
        <v>210000</v>
      </c>
      <c r="J14" s="70"/>
      <c r="K14" s="70">
        <f>SUM(I14:J14)</f>
        <v>210000</v>
      </c>
      <c r="L14" s="70"/>
      <c r="M14" s="70">
        <f>SUM(K14:L14)</f>
        <v>210000</v>
      </c>
      <c r="N14" s="70"/>
      <c r="O14" s="70">
        <f>SUM(M14:N14)</f>
        <v>210000</v>
      </c>
      <c r="P14" s="70"/>
      <c r="Q14" s="70">
        <f>SUM(O14:P14)</f>
        <v>210000</v>
      </c>
    </row>
    <row r="15" spans="1:17" s="163" customFormat="1" ht="56.25">
      <c r="A15" s="71"/>
      <c r="B15" s="50"/>
      <c r="C15" s="73" t="s">
        <v>159</v>
      </c>
      <c r="D15" s="75" t="s">
        <v>55</v>
      </c>
      <c r="E15" s="176">
        <f>1920000+20000+82000+11000+2000+700</f>
        <v>2035700</v>
      </c>
      <c r="F15" s="176"/>
      <c r="G15" s="70">
        <f>SUM(E15:F15)</f>
        <v>2035700</v>
      </c>
      <c r="H15" s="176"/>
      <c r="I15" s="70">
        <f>SUM(G15:H15)</f>
        <v>2035700</v>
      </c>
      <c r="J15" s="176"/>
      <c r="K15" s="70">
        <f>SUM(I15:J15)</f>
        <v>2035700</v>
      </c>
      <c r="L15" s="176"/>
      <c r="M15" s="70">
        <f>SUM(K15:L15)</f>
        <v>2035700</v>
      </c>
      <c r="N15" s="176"/>
      <c r="O15" s="70">
        <f>SUM(M15:N15)</f>
        <v>2035700</v>
      </c>
      <c r="P15" s="176"/>
      <c r="Q15" s="70">
        <f>SUM(O15:P15)</f>
        <v>2035700</v>
      </c>
    </row>
    <row r="16" spans="1:17" s="163" customFormat="1" ht="45">
      <c r="A16" s="71"/>
      <c r="B16" s="50"/>
      <c r="C16" s="73" t="s">
        <v>219</v>
      </c>
      <c r="D16" s="75" t="s">
        <v>240</v>
      </c>
      <c r="E16" s="70">
        <f>300000+200000</f>
        <v>500000</v>
      </c>
      <c r="F16" s="70"/>
      <c r="G16" s="70">
        <f>SUM(E16:F16)</f>
        <v>500000</v>
      </c>
      <c r="H16" s="70"/>
      <c r="I16" s="70">
        <f>SUM(G16:H16)</f>
        <v>500000</v>
      </c>
      <c r="J16" s="70"/>
      <c r="K16" s="70">
        <f>SUM(I16:J16)</f>
        <v>500000</v>
      </c>
      <c r="L16" s="70"/>
      <c r="M16" s="70">
        <f>SUM(K16:L16)</f>
        <v>500000</v>
      </c>
      <c r="N16" s="70"/>
      <c r="O16" s="70">
        <f>SUM(M16:N16)</f>
        <v>500000</v>
      </c>
      <c r="P16" s="70"/>
      <c r="Q16" s="70">
        <f>SUM(O16:P16)</f>
        <v>500000</v>
      </c>
    </row>
    <row r="17" spans="1:17" s="163" customFormat="1" ht="33.75">
      <c r="A17" s="71"/>
      <c r="B17" s="50"/>
      <c r="C17" s="73" t="s">
        <v>235</v>
      </c>
      <c r="D17" s="75" t="s">
        <v>236</v>
      </c>
      <c r="E17" s="70">
        <f>250000+600000+1200000+600000</f>
        <v>2650000</v>
      </c>
      <c r="F17" s="70"/>
      <c r="G17" s="70">
        <f>SUM(E17:F17)</f>
        <v>2650000</v>
      </c>
      <c r="H17" s="70"/>
      <c r="I17" s="70">
        <f>SUM(G17:H17)</f>
        <v>2650000</v>
      </c>
      <c r="J17" s="70"/>
      <c r="K17" s="70">
        <f>SUM(I17:J17)</f>
        <v>2650000</v>
      </c>
      <c r="L17" s="70"/>
      <c r="M17" s="70">
        <f>SUM(K17:L17)</f>
        <v>2650000</v>
      </c>
      <c r="N17" s="70"/>
      <c r="O17" s="70">
        <f>SUM(M17:N17)</f>
        <v>2650000</v>
      </c>
      <c r="P17" s="70"/>
      <c r="Q17" s="70">
        <f>SUM(O17:P17)</f>
        <v>2650000</v>
      </c>
    </row>
    <row r="18" spans="1:17" s="163" customFormat="1" ht="21.75" customHeight="1">
      <c r="A18" s="71"/>
      <c r="B18" s="50"/>
      <c r="C18" s="73" t="s">
        <v>160</v>
      </c>
      <c r="D18" s="75" t="s">
        <v>11</v>
      </c>
      <c r="E18" s="70">
        <v>12000</v>
      </c>
      <c r="F18" s="70"/>
      <c r="G18" s="70">
        <f>SUM(E18:F18)</f>
        <v>12000</v>
      </c>
      <c r="H18" s="70"/>
      <c r="I18" s="70">
        <f>SUM(G18:H18)</f>
        <v>12000</v>
      </c>
      <c r="J18" s="70"/>
      <c r="K18" s="70">
        <f>SUM(I18:J18)</f>
        <v>12000</v>
      </c>
      <c r="L18" s="70"/>
      <c r="M18" s="70">
        <f>SUM(K18:L18)</f>
        <v>12000</v>
      </c>
      <c r="N18" s="70"/>
      <c r="O18" s="70">
        <f>SUM(M18:N18)</f>
        <v>12000</v>
      </c>
      <c r="P18" s="70"/>
      <c r="Q18" s="70">
        <f>SUM(O18:P18)</f>
        <v>12000</v>
      </c>
    </row>
    <row r="19" spans="1:17" s="164" customFormat="1" ht="24" customHeight="1">
      <c r="A19" s="31" t="s">
        <v>15</v>
      </c>
      <c r="B19" s="4"/>
      <c r="C19" s="5"/>
      <c r="D19" s="32" t="s">
        <v>16</v>
      </c>
      <c r="E19" s="57">
        <f>SUM(E20,E22)</f>
        <v>169100</v>
      </c>
      <c r="F19" s="57">
        <f>SUM(F20,F22)</f>
        <v>0</v>
      </c>
      <c r="G19" s="57">
        <f aca="true" t="shared" si="6" ref="G19:M19">SUM(G20,G22,G24)</f>
        <v>169100</v>
      </c>
      <c r="H19" s="57">
        <f t="shared" si="6"/>
        <v>29071</v>
      </c>
      <c r="I19" s="57">
        <f t="shared" si="6"/>
        <v>198171</v>
      </c>
      <c r="J19" s="57">
        <f t="shared" si="6"/>
        <v>0</v>
      </c>
      <c r="K19" s="57">
        <f t="shared" si="6"/>
        <v>198171</v>
      </c>
      <c r="L19" s="57">
        <f t="shared" si="6"/>
        <v>0</v>
      </c>
      <c r="M19" s="57">
        <f t="shared" si="6"/>
        <v>198171</v>
      </c>
      <c r="N19" s="57">
        <f>SUM(N20,N22,N24)</f>
        <v>0</v>
      </c>
      <c r="O19" s="57">
        <f>SUM(O20,O22,O24)</f>
        <v>198171</v>
      </c>
      <c r="P19" s="57">
        <f>SUM(P20,P22,P24)</f>
        <v>18318</v>
      </c>
      <c r="Q19" s="57">
        <f>SUM(Q20,Q22,Q24)</f>
        <v>216489</v>
      </c>
    </row>
    <row r="20" spans="1:17" s="163" customFormat="1" ht="24" customHeight="1">
      <c r="A20" s="71"/>
      <c r="B20" s="72">
        <v>75011</v>
      </c>
      <c r="C20" s="78"/>
      <c r="D20" s="75" t="s">
        <v>17</v>
      </c>
      <c r="E20" s="70">
        <f aca="true" t="shared" si="7" ref="E20:Q20">SUM(E21:E21)</f>
        <v>156600</v>
      </c>
      <c r="F20" s="70">
        <f t="shared" si="7"/>
        <v>0</v>
      </c>
      <c r="G20" s="70">
        <f t="shared" si="7"/>
        <v>156600</v>
      </c>
      <c r="H20" s="70">
        <f t="shared" si="7"/>
        <v>0</v>
      </c>
      <c r="I20" s="70">
        <f t="shared" si="7"/>
        <v>156600</v>
      </c>
      <c r="J20" s="70">
        <f t="shared" si="7"/>
        <v>0</v>
      </c>
      <c r="K20" s="70">
        <f t="shared" si="7"/>
        <v>156600</v>
      </c>
      <c r="L20" s="70">
        <f t="shared" si="7"/>
        <v>0</v>
      </c>
      <c r="M20" s="70">
        <f t="shared" si="7"/>
        <v>156600</v>
      </c>
      <c r="N20" s="70">
        <f t="shared" si="7"/>
        <v>0</v>
      </c>
      <c r="O20" s="70">
        <f t="shared" si="7"/>
        <v>156600</v>
      </c>
      <c r="P20" s="70">
        <f t="shared" si="7"/>
        <v>0</v>
      </c>
      <c r="Q20" s="70">
        <f t="shared" si="7"/>
        <v>156600</v>
      </c>
    </row>
    <row r="21" spans="1:17" s="163" customFormat="1" ht="45">
      <c r="A21" s="71"/>
      <c r="B21" s="50"/>
      <c r="C21" s="73">
        <v>2010</v>
      </c>
      <c r="D21" s="41" t="s">
        <v>208</v>
      </c>
      <c r="E21" s="83">
        <v>156600</v>
      </c>
      <c r="F21" s="83"/>
      <c r="G21" s="83">
        <f>SUM(E21:F21)</f>
        <v>156600</v>
      </c>
      <c r="H21" s="83"/>
      <c r="I21" s="83">
        <f>SUM(G21:H21)</f>
        <v>156600</v>
      </c>
      <c r="J21" s="83"/>
      <c r="K21" s="83">
        <f>SUM(I21:J21)</f>
        <v>156600</v>
      </c>
      <c r="L21" s="83"/>
      <c r="M21" s="83">
        <f>SUM(K21:L21)</f>
        <v>156600</v>
      </c>
      <c r="N21" s="83"/>
      <c r="O21" s="83">
        <f>SUM(M21:N21)</f>
        <v>156600</v>
      </c>
      <c r="P21" s="83"/>
      <c r="Q21" s="83">
        <f>SUM(O21:P21)</f>
        <v>156600</v>
      </c>
    </row>
    <row r="22" spans="1:17" s="163" customFormat="1" ht="24" customHeight="1">
      <c r="A22" s="71"/>
      <c r="B22" s="50">
        <v>75023</v>
      </c>
      <c r="C22" s="73"/>
      <c r="D22" s="41" t="s">
        <v>19</v>
      </c>
      <c r="E22" s="70">
        <f aca="true" t="shared" si="8" ref="E22:Q22">SUM(E23)</f>
        <v>12500</v>
      </c>
      <c r="F22" s="70">
        <f t="shared" si="8"/>
        <v>0</v>
      </c>
      <c r="G22" s="70">
        <f t="shared" si="8"/>
        <v>12500</v>
      </c>
      <c r="H22" s="70">
        <f t="shared" si="8"/>
        <v>0</v>
      </c>
      <c r="I22" s="70">
        <f t="shared" si="8"/>
        <v>12500</v>
      </c>
      <c r="J22" s="70">
        <f t="shared" si="8"/>
        <v>0</v>
      </c>
      <c r="K22" s="70">
        <f t="shared" si="8"/>
        <v>12500</v>
      </c>
      <c r="L22" s="70">
        <f t="shared" si="8"/>
        <v>0</v>
      </c>
      <c r="M22" s="70">
        <f t="shared" si="8"/>
        <v>12500</v>
      </c>
      <c r="N22" s="70">
        <f t="shared" si="8"/>
        <v>0</v>
      </c>
      <c r="O22" s="70">
        <f t="shared" si="8"/>
        <v>12500</v>
      </c>
      <c r="P22" s="70">
        <f t="shared" si="8"/>
        <v>0</v>
      </c>
      <c r="Q22" s="70">
        <f t="shared" si="8"/>
        <v>12500</v>
      </c>
    </row>
    <row r="23" spans="1:17" s="163" customFormat="1" ht="21.75" customHeight="1">
      <c r="A23" s="71"/>
      <c r="B23" s="50"/>
      <c r="C23" s="73" t="s">
        <v>161</v>
      </c>
      <c r="D23" s="75" t="s">
        <v>12</v>
      </c>
      <c r="E23" s="70">
        <v>12500</v>
      </c>
      <c r="F23" s="70"/>
      <c r="G23" s="70">
        <f>SUM(E23:F23)</f>
        <v>12500</v>
      </c>
      <c r="H23" s="70"/>
      <c r="I23" s="70">
        <f>SUM(G23:H23)</f>
        <v>12500</v>
      </c>
      <c r="J23" s="70"/>
      <c r="K23" s="70">
        <f>SUM(I23:J23)</f>
        <v>12500</v>
      </c>
      <c r="L23" s="70"/>
      <c r="M23" s="70">
        <f>SUM(K23:L23)</f>
        <v>12500</v>
      </c>
      <c r="N23" s="70"/>
      <c r="O23" s="70">
        <f>SUM(M23:N23)</f>
        <v>12500</v>
      </c>
      <c r="P23" s="70"/>
      <c r="Q23" s="70">
        <f>SUM(O23:P23)</f>
        <v>12500</v>
      </c>
    </row>
    <row r="24" spans="1:17" s="163" customFormat="1" ht="21.75" customHeight="1">
      <c r="A24" s="71"/>
      <c r="B24" s="50">
        <v>75056</v>
      </c>
      <c r="C24" s="73"/>
      <c r="D24" s="75" t="s">
        <v>389</v>
      </c>
      <c r="E24" s="70"/>
      <c r="F24" s="70"/>
      <c r="G24" s="70">
        <f aca="true" t="shared" si="9" ref="G24:Q24">SUM(G25)</f>
        <v>0</v>
      </c>
      <c r="H24" s="70">
        <f t="shared" si="9"/>
        <v>29071</v>
      </c>
      <c r="I24" s="70">
        <f t="shared" si="9"/>
        <v>29071</v>
      </c>
      <c r="J24" s="70">
        <f t="shared" si="9"/>
        <v>0</v>
      </c>
      <c r="K24" s="70">
        <f t="shared" si="9"/>
        <v>29071</v>
      </c>
      <c r="L24" s="70">
        <f t="shared" si="9"/>
        <v>0</v>
      </c>
      <c r="M24" s="70">
        <f t="shared" si="9"/>
        <v>29071</v>
      </c>
      <c r="N24" s="70">
        <f t="shared" si="9"/>
        <v>0</v>
      </c>
      <c r="O24" s="70">
        <f t="shared" si="9"/>
        <v>29071</v>
      </c>
      <c r="P24" s="70">
        <f t="shared" si="9"/>
        <v>18318</v>
      </c>
      <c r="Q24" s="70">
        <f t="shared" si="9"/>
        <v>47389</v>
      </c>
    </row>
    <row r="25" spans="1:17" s="163" customFormat="1" ht="45">
      <c r="A25" s="71"/>
      <c r="B25" s="50"/>
      <c r="C25" s="73">
        <v>2010</v>
      </c>
      <c r="D25" s="41" t="s">
        <v>208</v>
      </c>
      <c r="E25" s="70"/>
      <c r="F25" s="70"/>
      <c r="G25" s="70">
        <v>0</v>
      </c>
      <c r="H25" s="70">
        <v>29071</v>
      </c>
      <c r="I25" s="70">
        <f>SUM(G25:H25)</f>
        <v>29071</v>
      </c>
      <c r="J25" s="70"/>
      <c r="K25" s="70">
        <f>SUM(I25:J25)</f>
        <v>29071</v>
      </c>
      <c r="L25" s="70"/>
      <c r="M25" s="70">
        <f>SUM(K25:L25)</f>
        <v>29071</v>
      </c>
      <c r="N25" s="70"/>
      <c r="O25" s="70">
        <f>SUM(M25:N25)</f>
        <v>29071</v>
      </c>
      <c r="P25" s="70">
        <v>18318</v>
      </c>
      <c r="Q25" s="70">
        <f>SUM(O25:P25)</f>
        <v>47389</v>
      </c>
    </row>
    <row r="26" spans="1:17" s="8" customFormat="1" ht="36">
      <c r="A26" s="31">
        <v>751</v>
      </c>
      <c r="B26" s="6"/>
      <c r="C26" s="22"/>
      <c r="D26" s="32" t="s">
        <v>20</v>
      </c>
      <c r="E26" s="57">
        <f aca="true" t="shared" si="10" ref="E26:K26">SUM(E27,E29)</f>
        <v>3850</v>
      </c>
      <c r="F26" s="57">
        <f t="shared" si="10"/>
        <v>46434</v>
      </c>
      <c r="G26" s="57">
        <f t="shared" si="10"/>
        <v>50284</v>
      </c>
      <c r="H26" s="57">
        <f t="shared" si="10"/>
        <v>0</v>
      </c>
      <c r="I26" s="57">
        <f t="shared" si="10"/>
        <v>50284</v>
      </c>
      <c r="J26" s="57">
        <f t="shared" si="10"/>
        <v>0</v>
      </c>
      <c r="K26" s="57">
        <f t="shared" si="10"/>
        <v>50284</v>
      </c>
      <c r="L26" s="57">
        <f aca="true" t="shared" si="11" ref="L26:Q26">SUM(L27,L29)</f>
        <v>0</v>
      </c>
      <c r="M26" s="57">
        <f t="shared" si="11"/>
        <v>50284</v>
      </c>
      <c r="N26" s="57">
        <f t="shared" si="11"/>
        <v>0</v>
      </c>
      <c r="O26" s="57">
        <f t="shared" si="11"/>
        <v>50284</v>
      </c>
      <c r="P26" s="57">
        <f t="shared" si="11"/>
        <v>0</v>
      </c>
      <c r="Q26" s="57">
        <f t="shared" si="11"/>
        <v>50284</v>
      </c>
    </row>
    <row r="27" spans="1:17" s="26" customFormat="1" ht="30" customHeight="1">
      <c r="A27" s="76"/>
      <c r="B27" s="72">
        <v>75101</v>
      </c>
      <c r="C27" s="78"/>
      <c r="D27" s="75" t="s">
        <v>21</v>
      </c>
      <c r="E27" s="70">
        <f aca="true" t="shared" si="12" ref="E27:Q27">SUM(E28)</f>
        <v>3850</v>
      </c>
      <c r="F27" s="70">
        <f t="shared" si="12"/>
        <v>0</v>
      </c>
      <c r="G27" s="70">
        <f t="shared" si="12"/>
        <v>3850</v>
      </c>
      <c r="H27" s="70">
        <f t="shared" si="12"/>
        <v>0</v>
      </c>
      <c r="I27" s="70">
        <f t="shared" si="12"/>
        <v>3850</v>
      </c>
      <c r="J27" s="70">
        <f t="shared" si="12"/>
        <v>0</v>
      </c>
      <c r="K27" s="70">
        <f t="shared" si="12"/>
        <v>3850</v>
      </c>
      <c r="L27" s="70">
        <f t="shared" si="12"/>
        <v>0</v>
      </c>
      <c r="M27" s="70">
        <f t="shared" si="12"/>
        <v>3850</v>
      </c>
      <c r="N27" s="70">
        <f t="shared" si="12"/>
        <v>0</v>
      </c>
      <c r="O27" s="70">
        <f t="shared" si="12"/>
        <v>3850</v>
      </c>
      <c r="P27" s="70">
        <f t="shared" si="12"/>
        <v>0</v>
      </c>
      <c r="Q27" s="70">
        <f t="shared" si="12"/>
        <v>3850</v>
      </c>
    </row>
    <row r="28" spans="1:17" s="26" customFormat="1" ht="45">
      <c r="A28" s="76"/>
      <c r="B28" s="72"/>
      <c r="C28" s="78">
        <v>2010</v>
      </c>
      <c r="D28" s="41" t="s">
        <v>208</v>
      </c>
      <c r="E28" s="70">
        <v>3850</v>
      </c>
      <c r="F28" s="70"/>
      <c r="G28" s="70">
        <f>SUM(E28:F28)</f>
        <v>3850</v>
      </c>
      <c r="H28" s="70"/>
      <c r="I28" s="70">
        <f>SUM(G28:H28)</f>
        <v>3850</v>
      </c>
      <c r="J28" s="70"/>
      <c r="K28" s="70">
        <f>SUM(I28:J28)</f>
        <v>3850</v>
      </c>
      <c r="L28" s="70"/>
      <c r="M28" s="70">
        <f>SUM(K28:L28)</f>
        <v>3850</v>
      </c>
      <c r="N28" s="70"/>
      <c r="O28" s="70">
        <f>SUM(M28:N28)</f>
        <v>3850</v>
      </c>
      <c r="P28" s="70"/>
      <c r="Q28" s="70">
        <f>SUM(O28:P28)</f>
        <v>3850</v>
      </c>
    </row>
    <row r="29" spans="1:17" s="26" customFormat="1" ht="21.75" customHeight="1">
      <c r="A29" s="76"/>
      <c r="B29" s="72">
        <v>75108</v>
      </c>
      <c r="C29" s="78"/>
      <c r="D29" s="65" t="s">
        <v>338</v>
      </c>
      <c r="E29" s="70">
        <f aca="true" t="shared" si="13" ref="E29:Q29">SUM(E30)</f>
        <v>0</v>
      </c>
      <c r="F29" s="70">
        <f t="shared" si="13"/>
        <v>46434</v>
      </c>
      <c r="G29" s="70">
        <f t="shared" si="13"/>
        <v>46434</v>
      </c>
      <c r="H29" s="70">
        <f t="shared" si="13"/>
        <v>0</v>
      </c>
      <c r="I29" s="70">
        <f t="shared" si="13"/>
        <v>46434</v>
      </c>
      <c r="J29" s="70">
        <f t="shared" si="13"/>
        <v>0</v>
      </c>
      <c r="K29" s="70">
        <f t="shared" si="13"/>
        <v>46434</v>
      </c>
      <c r="L29" s="70">
        <f t="shared" si="13"/>
        <v>0</v>
      </c>
      <c r="M29" s="70">
        <f t="shared" si="13"/>
        <v>46434</v>
      </c>
      <c r="N29" s="70">
        <f t="shared" si="13"/>
        <v>0</v>
      </c>
      <c r="O29" s="70">
        <f t="shared" si="13"/>
        <v>46434</v>
      </c>
      <c r="P29" s="70">
        <f t="shared" si="13"/>
        <v>0</v>
      </c>
      <c r="Q29" s="70">
        <f t="shared" si="13"/>
        <v>46434</v>
      </c>
    </row>
    <row r="30" spans="1:17" s="26" customFormat="1" ht="45">
      <c r="A30" s="76"/>
      <c r="B30" s="72"/>
      <c r="C30" s="78">
        <v>2010</v>
      </c>
      <c r="D30" s="41" t="s">
        <v>208</v>
      </c>
      <c r="E30" s="70">
        <v>0</v>
      </c>
      <c r="F30" s="70">
        <v>46434</v>
      </c>
      <c r="G30" s="70">
        <f>SUM(E30:F30)</f>
        <v>46434</v>
      </c>
      <c r="H30" s="70"/>
      <c r="I30" s="70">
        <f>SUM(G30:H30)</f>
        <v>46434</v>
      </c>
      <c r="J30" s="70"/>
      <c r="K30" s="70">
        <f>SUM(I30:J30)</f>
        <v>46434</v>
      </c>
      <c r="L30" s="70"/>
      <c r="M30" s="70">
        <f>SUM(K30:L30)</f>
        <v>46434</v>
      </c>
      <c r="N30" s="70"/>
      <c r="O30" s="70">
        <f>SUM(M30:N30)</f>
        <v>46434</v>
      </c>
      <c r="P30" s="70"/>
      <c r="Q30" s="70">
        <f>SUM(O30:P30)</f>
        <v>46434</v>
      </c>
    </row>
    <row r="31" spans="1:17" s="8" customFormat="1" ht="30" customHeight="1">
      <c r="A31" s="31" t="s">
        <v>22</v>
      </c>
      <c r="B31" s="4"/>
      <c r="C31" s="5"/>
      <c r="D31" s="32" t="s">
        <v>23</v>
      </c>
      <c r="E31" s="57">
        <f aca="true" t="shared" si="14" ref="E31:Q31">SUM(E32)</f>
        <v>6000</v>
      </c>
      <c r="F31" s="57">
        <f t="shared" si="14"/>
        <v>0</v>
      </c>
      <c r="G31" s="57">
        <f t="shared" si="14"/>
        <v>6000</v>
      </c>
      <c r="H31" s="57">
        <f t="shared" si="14"/>
        <v>0</v>
      </c>
      <c r="I31" s="57">
        <f t="shared" si="14"/>
        <v>6000</v>
      </c>
      <c r="J31" s="57">
        <f t="shared" si="14"/>
        <v>0</v>
      </c>
      <c r="K31" s="57">
        <f t="shared" si="14"/>
        <v>6000</v>
      </c>
      <c r="L31" s="57">
        <f t="shared" si="14"/>
        <v>0</v>
      </c>
      <c r="M31" s="57">
        <f t="shared" si="14"/>
        <v>6000</v>
      </c>
      <c r="N31" s="57">
        <f t="shared" si="14"/>
        <v>0</v>
      </c>
      <c r="O31" s="57">
        <f t="shared" si="14"/>
        <v>6000</v>
      </c>
      <c r="P31" s="57">
        <f t="shared" si="14"/>
        <v>0</v>
      </c>
      <c r="Q31" s="57">
        <f t="shared" si="14"/>
        <v>6000</v>
      </c>
    </row>
    <row r="32" spans="1:17" s="26" customFormat="1" ht="24" customHeight="1">
      <c r="A32" s="76"/>
      <c r="B32" s="72" t="s">
        <v>24</v>
      </c>
      <c r="C32" s="78"/>
      <c r="D32" s="75" t="s">
        <v>25</v>
      </c>
      <c r="E32" s="70">
        <f aca="true" t="shared" si="15" ref="E32:K32">SUM(E33:E34)</f>
        <v>6000</v>
      </c>
      <c r="F32" s="70">
        <f t="shared" si="15"/>
        <v>0</v>
      </c>
      <c r="G32" s="70">
        <f t="shared" si="15"/>
        <v>6000</v>
      </c>
      <c r="H32" s="70">
        <f t="shared" si="15"/>
        <v>0</v>
      </c>
      <c r="I32" s="70">
        <f t="shared" si="15"/>
        <v>6000</v>
      </c>
      <c r="J32" s="70">
        <f t="shared" si="15"/>
        <v>0</v>
      </c>
      <c r="K32" s="70">
        <f t="shared" si="15"/>
        <v>6000</v>
      </c>
      <c r="L32" s="70">
        <f aca="true" t="shared" si="16" ref="L32:Q32">SUM(L33:L34)</f>
        <v>0</v>
      </c>
      <c r="M32" s="70">
        <f t="shared" si="16"/>
        <v>6000</v>
      </c>
      <c r="N32" s="70">
        <f t="shared" si="16"/>
        <v>0</v>
      </c>
      <c r="O32" s="70">
        <f t="shared" si="16"/>
        <v>6000</v>
      </c>
      <c r="P32" s="70">
        <f t="shared" si="16"/>
        <v>0</v>
      </c>
      <c r="Q32" s="70">
        <f t="shared" si="16"/>
        <v>6000</v>
      </c>
    </row>
    <row r="33" spans="1:17" s="26" customFormat="1" ht="25.5" customHeight="1">
      <c r="A33" s="76"/>
      <c r="B33" s="50"/>
      <c r="C33" s="73" t="s">
        <v>162</v>
      </c>
      <c r="D33" s="75" t="s">
        <v>276</v>
      </c>
      <c r="E33" s="70">
        <f>5000+800</f>
        <v>5800</v>
      </c>
      <c r="F33" s="70"/>
      <c r="G33" s="70">
        <f>SUM(E33:F33)</f>
        <v>5800</v>
      </c>
      <c r="H33" s="70"/>
      <c r="I33" s="70">
        <f>SUM(G33:H33)</f>
        <v>5800</v>
      </c>
      <c r="J33" s="70"/>
      <c r="K33" s="70">
        <f>SUM(I33:J33)</f>
        <v>5800</v>
      </c>
      <c r="L33" s="70"/>
      <c r="M33" s="70">
        <f>SUM(K33:L33)</f>
        <v>5800</v>
      </c>
      <c r="N33" s="70"/>
      <c r="O33" s="70">
        <f>SUM(M33:N33)</f>
        <v>5800</v>
      </c>
      <c r="P33" s="70"/>
      <c r="Q33" s="70">
        <f>SUM(O33:P33)</f>
        <v>5800</v>
      </c>
    </row>
    <row r="34" spans="1:17" s="26" customFormat="1" ht="21.75" customHeight="1">
      <c r="A34" s="76"/>
      <c r="B34" s="50"/>
      <c r="C34" s="73" t="s">
        <v>160</v>
      </c>
      <c r="D34" s="75" t="s">
        <v>11</v>
      </c>
      <c r="E34" s="70">
        <v>200</v>
      </c>
      <c r="F34" s="70"/>
      <c r="G34" s="70">
        <f>SUM(E34:F34)</f>
        <v>200</v>
      </c>
      <c r="H34" s="70"/>
      <c r="I34" s="70">
        <f>SUM(G34:H34)</f>
        <v>200</v>
      </c>
      <c r="J34" s="70"/>
      <c r="K34" s="70">
        <f>SUM(I34:J34)</f>
        <v>200</v>
      </c>
      <c r="L34" s="70"/>
      <c r="M34" s="70">
        <f>SUM(K34:L34)</f>
        <v>200</v>
      </c>
      <c r="N34" s="70"/>
      <c r="O34" s="70">
        <f>SUM(M34:N34)</f>
        <v>200</v>
      </c>
      <c r="P34" s="70"/>
      <c r="Q34" s="70">
        <f>SUM(O34:P34)</f>
        <v>200</v>
      </c>
    </row>
    <row r="35" spans="1:17" s="164" customFormat="1" ht="48">
      <c r="A35" s="31" t="s">
        <v>26</v>
      </c>
      <c r="B35" s="4"/>
      <c r="C35" s="5"/>
      <c r="D35" s="32" t="s">
        <v>151</v>
      </c>
      <c r="E35" s="57">
        <f aca="true" t="shared" si="17" ref="E35:K35">SUM(E36,E39,E47,E57,E62,)</f>
        <v>23939630</v>
      </c>
      <c r="F35" s="57">
        <f t="shared" si="17"/>
        <v>61800</v>
      </c>
      <c r="G35" s="57">
        <f t="shared" si="17"/>
        <v>24001430</v>
      </c>
      <c r="H35" s="57">
        <f t="shared" si="17"/>
        <v>0</v>
      </c>
      <c r="I35" s="57">
        <f t="shared" si="17"/>
        <v>24001430</v>
      </c>
      <c r="J35" s="57">
        <f t="shared" si="17"/>
        <v>0</v>
      </c>
      <c r="K35" s="57">
        <f t="shared" si="17"/>
        <v>24001430</v>
      </c>
      <c r="L35" s="57">
        <f aca="true" t="shared" si="18" ref="L35:Q35">SUM(L36,L39,L47,L57,L62,)</f>
        <v>0</v>
      </c>
      <c r="M35" s="57">
        <f t="shared" si="18"/>
        <v>24001430</v>
      </c>
      <c r="N35" s="57">
        <f t="shared" si="18"/>
        <v>270922</v>
      </c>
      <c r="O35" s="57">
        <f t="shared" si="18"/>
        <v>24272352</v>
      </c>
      <c r="P35" s="57">
        <f t="shared" si="18"/>
        <v>0</v>
      </c>
      <c r="Q35" s="57">
        <f t="shared" si="18"/>
        <v>24272352</v>
      </c>
    </row>
    <row r="36" spans="1:17" s="163" customFormat="1" ht="24" customHeight="1">
      <c r="A36" s="71"/>
      <c r="B36" s="50">
        <v>75601</v>
      </c>
      <c r="C36" s="78"/>
      <c r="D36" s="75" t="s">
        <v>28</v>
      </c>
      <c r="E36" s="70">
        <f aca="true" t="shared" si="19" ref="E36:K36">SUM(E37:E38)</f>
        <v>40500</v>
      </c>
      <c r="F36" s="70">
        <f t="shared" si="19"/>
        <v>0</v>
      </c>
      <c r="G36" s="70">
        <f t="shared" si="19"/>
        <v>40500</v>
      </c>
      <c r="H36" s="70">
        <f t="shared" si="19"/>
        <v>0</v>
      </c>
      <c r="I36" s="70">
        <f t="shared" si="19"/>
        <v>40500</v>
      </c>
      <c r="J36" s="70">
        <f t="shared" si="19"/>
        <v>0</v>
      </c>
      <c r="K36" s="70">
        <f t="shared" si="19"/>
        <v>40500</v>
      </c>
      <c r="L36" s="70">
        <f aca="true" t="shared" si="20" ref="L36:Q36">SUM(L37:L38)</f>
        <v>0</v>
      </c>
      <c r="M36" s="70">
        <f t="shared" si="20"/>
        <v>40500</v>
      </c>
      <c r="N36" s="70">
        <f t="shared" si="20"/>
        <v>0</v>
      </c>
      <c r="O36" s="70">
        <f t="shared" si="20"/>
        <v>40500</v>
      </c>
      <c r="P36" s="70">
        <f t="shared" si="20"/>
        <v>0</v>
      </c>
      <c r="Q36" s="70">
        <f t="shared" si="20"/>
        <v>40500</v>
      </c>
    </row>
    <row r="37" spans="1:17" s="163" customFormat="1" ht="24" customHeight="1">
      <c r="A37" s="71"/>
      <c r="B37" s="50"/>
      <c r="C37" s="77" t="s">
        <v>163</v>
      </c>
      <c r="D37" s="75" t="s">
        <v>29</v>
      </c>
      <c r="E37" s="70">
        <v>40000</v>
      </c>
      <c r="F37" s="70"/>
      <c r="G37" s="70">
        <f>SUM(E37:F37)</f>
        <v>40000</v>
      </c>
      <c r="H37" s="70"/>
      <c r="I37" s="70">
        <f>SUM(G37:H37)</f>
        <v>40000</v>
      </c>
      <c r="J37" s="70"/>
      <c r="K37" s="70">
        <f>SUM(I37:J37)</f>
        <v>40000</v>
      </c>
      <c r="L37" s="70"/>
      <c r="M37" s="70">
        <f>SUM(K37:L37)</f>
        <v>40000</v>
      </c>
      <c r="N37" s="70"/>
      <c r="O37" s="70">
        <f>SUM(M37:N37)</f>
        <v>40000</v>
      </c>
      <c r="P37" s="70"/>
      <c r="Q37" s="70">
        <f>SUM(O37:P37)</f>
        <v>40000</v>
      </c>
    </row>
    <row r="38" spans="1:17" s="163" customFormat="1" ht="24" customHeight="1">
      <c r="A38" s="71"/>
      <c r="B38" s="50"/>
      <c r="C38" s="77" t="s">
        <v>164</v>
      </c>
      <c r="D38" s="75" t="s">
        <v>277</v>
      </c>
      <c r="E38" s="70">
        <v>500</v>
      </c>
      <c r="F38" s="70"/>
      <c r="G38" s="70">
        <f>SUM(E38:F38)</f>
        <v>500</v>
      </c>
      <c r="H38" s="70"/>
      <c r="I38" s="70">
        <f>SUM(G38:H38)</f>
        <v>500</v>
      </c>
      <c r="J38" s="70"/>
      <c r="K38" s="70">
        <f>SUM(I38:J38)</f>
        <v>500</v>
      </c>
      <c r="L38" s="70"/>
      <c r="M38" s="70">
        <f>SUM(K38:L38)</f>
        <v>500</v>
      </c>
      <c r="N38" s="70"/>
      <c r="O38" s="70">
        <f>SUM(M38:N38)</f>
        <v>500</v>
      </c>
      <c r="P38" s="70"/>
      <c r="Q38" s="70">
        <f>SUM(O38:P38)</f>
        <v>500</v>
      </c>
    </row>
    <row r="39" spans="1:17" s="163" customFormat="1" ht="45">
      <c r="A39" s="71"/>
      <c r="B39" s="72" t="s">
        <v>30</v>
      </c>
      <c r="C39" s="78"/>
      <c r="D39" s="75" t="s">
        <v>192</v>
      </c>
      <c r="E39" s="70">
        <f aca="true" t="shared" si="21" ref="E39:K39">SUM(E40:E46)</f>
        <v>8080073</v>
      </c>
      <c r="F39" s="70">
        <f t="shared" si="21"/>
        <v>0</v>
      </c>
      <c r="G39" s="70">
        <f t="shared" si="21"/>
        <v>8080073</v>
      </c>
      <c r="H39" s="70">
        <f t="shared" si="21"/>
        <v>0</v>
      </c>
      <c r="I39" s="70">
        <f t="shared" si="21"/>
        <v>8080073</v>
      </c>
      <c r="J39" s="70">
        <f t="shared" si="21"/>
        <v>0</v>
      </c>
      <c r="K39" s="70">
        <f t="shared" si="21"/>
        <v>8080073</v>
      </c>
      <c r="L39" s="70">
        <f aca="true" t="shared" si="22" ref="L39:Q39">SUM(L40:L46)</f>
        <v>0</v>
      </c>
      <c r="M39" s="70">
        <f t="shared" si="22"/>
        <v>8080073</v>
      </c>
      <c r="N39" s="70">
        <f t="shared" si="22"/>
        <v>132675</v>
      </c>
      <c r="O39" s="70">
        <f t="shared" si="22"/>
        <v>8212748</v>
      </c>
      <c r="P39" s="70">
        <f t="shared" si="22"/>
        <v>0</v>
      </c>
      <c r="Q39" s="70">
        <f t="shared" si="22"/>
        <v>8212748</v>
      </c>
    </row>
    <row r="40" spans="1:17" s="163" customFormat="1" ht="21.75" customHeight="1">
      <c r="A40" s="71"/>
      <c r="B40" s="72"/>
      <c r="C40" s="73" t="s">
        <v>165</v>
      </c>
      <c r="D40" s="75" t="s">
        <v>31</v>
      </c>
      <c r="E40" s="176">
        <v>7317272</v>
      </c>
      <c r="F40" s="176">
        <v>249354</v>
      </c>
      <c r="G40" s="176">
        <f>SUM(E40:F40)</f>
        <v>7566626</v>
      </c>
      <c r="H40" s="176"/>
      <c r="I40" s="176">
        <f>SUM(G40:H40)</f>
        <v>7566626</v>
      </c>
      <c r="J40" s="176"/>
      <c r="K40" s="176">
        <f>SUM(I40:J40)</f>
        <v>7566626</v>
      </c>
      <c r="L40" s="176"/>
      <c r="M40" s="176">
        <f>SUM(K40:L40)</f>
        <v>7566626</v>
      </c>
      <c r="N40" s="176"/>
      <c r="O40" s="176">
        <f>SUM(M40:N40)</f>
        <v>7566626</v>
      </c>
      <c r="P40" s="176"/>
      <c r="Q40" s="176">
        <f>SUM(O40:P40)</f>
        <v>7566626</v>
      </c>
    </row>
    <row r="41" spans="1:17" s="163" customFormat="1" ht="21.75" customHeight="1">
      <c r="A41" s="71"/>
      <c r="B41" s="72"/>
      <c r="C41" s="73" t="s">
        <v>166</v>
      </c>
      <c r="D41" s="75" t="s">
        <v>32</v>
      </c>
      <c r="E41" s="70">
        <v>23594</v>
      </c>
      <c r="F41" s="70"/>
      <c r="G41" s="176">
        <f aca="true" t="shared" si="23" ref="G41:G46">SUM(E41:F41)</f>
        <v>23594</v>
      </c>
      <c r="H41" s="70"/>
      <c r="I41" s="176">
        <f aca="true" t="shared" si="24" ref="I41:I46">SUM(G41:H41)</f>
        <v>23594</v>
      </c>
      <c r="J41" s="70"/>
      <c r="K41" s="176">
        <f aca="true" t="shared" si="25" ref="K41:K46">SUM(I41:J41)</f>
        <v>23594</v>
      </c>
      <c r="L41" s="70"/>
      <c r="M41" s="176">
        <f aca="true" t="shared" si="26" ref="M41:M46">SUM(K41:L41)</f>
        <v>23594</v>
      </c>
      <c r="N41" s="70"/>
      <c r="O41" s="176">
        <f aca="true" t="shared" si="27" ref="O41:O46">SUM(M41:N41)</f>
        <v>23594</v>
      </c>
      <c r="P41" s="70"/>
      <c r="Q41" s="176">
        <f aca="true" t="shared" si="28" ref="Q41:Q46">SUM(O41:P41)</f>
        <v>23594</v>
      </c>
    </row>
    <row r="42" spans="1:17" s="163" customFormat="1" ht="21.75" customHeight="1">
      <c r="A42" s="71"/>
      <c r="B42" s="72"/>
      <c r="C42" s="73" t="s">
        <v>167</v>
      </c>
      <c r="D42" s="75" t="s">
        <v>33</v>
      </c>
      <c r="E42" s="70">
        <v>335669</v>
      </c>
      <c r="F42" s="70"/>
      <c r="G42" s="176">
        <f t="shared" si="23"/>
        <v>335669</v>
      </c>
      <c r="H42" s="70"/>
      <c r="I42" s="176">
        <f t="shared" si="24"/>
        <v>335669</v>
      </c>
      <c r="J42" s="70"/>
      <c r="K42" s="176">
        <f t="shared" si="25"/>
        <v>335669</v>
      </c>
      <c r="L42" s="70"/>
      <c r="M42" s="176">
        <f t="shared" si="26"/>
        <v>335669</v>
      </c>
      <c r="N42" s="70"/>
      <c r="O42" s="176">
        <f t="shared" si="27"/>
        <v>335669</v>
      </c>
      <c r="P42" s="70"/>
      <c r="Q42" s="176">
        <f t="shared" si="28"/>
        <v>335669</v>
      </c>
    </row>
    <row r="43" spans="1:17" s="163" customFormat="1" ht="21.75" customHeight="1">
      <c r="A43" s="71"/>
      <c r="B43" s="72"/>
      <c r="C43" s="73" t="s">
        <v>168</v>
      </c>
      <c r="D43" s="75" t="s">
        <v>34</v>
      </c>
      <c r="E43" s="70">
        <v>83000</v>
      </c>
      <c r="F43" s="70"/>
      <c r="G43" s="176">
        <f t="shared" si="23"/>
        <v>83000</v>
      </c>
      <c r="H43" s="70"/>
      <c r="I43" s="176">
        <f t="shared" si="24"/>
        <v>83000</v>
      </c>
      <c r="J43" s="70"/>
      <c r="K43" s="176">
        <f t="shared" si="25"/>
        <v>83000</v>
      </c>
      <c r="L43" s="70"/>
      <c r="M43" s="176">
        <f t="shared" si="26"/>
        <v>83000</v>
      </c>
      <c r="N43" s="70"/>
      <c r="O43" s="176">
        <f t="shared" si="27"/>
        <v>83000</v>
      </c>
      <c r="P43" s="70"/>
      <c r="Q43" s="176">
        <f t="shared" si="28"/>
        <v>83000</v>
      </c>
    </row>
    <row r="44" spans="1:17" s="163" customFormat="1" ht="21.75" customHeight="1">
      <c r="A44" s="71"/>
      <c r="B44" s="72"/>
      <c r="C44" s="73" t="s">
        <v>171</v>
      </c>
      <c r="D44" s="75" t="s">
        <v>37</v>
      </c>
      <c r="E44" s="70">
        <v>40000</v>
      </c>
      <c r="F44" s="70"/>
      <c r="G44" s="176">
        <f t="shared" si="23"/>
        <v>40000</v>
      </c>
      <c r="H44" s="70"/>
      <c r="I44" s="176">
        <f t="shared" si="24"/>
        <v>40000</v>
      </c>
      <c r="J44" s="70"/>
      <c r="K44" s="176">
        <f t="shared" si="25"/>
        <v>40000</v>
      </c>
      <c r="L44" s="70"/>
      <c r="M44" s="176">
        <f t="shared" si="26"/>
        <v>40000</v>
      </c>
      <c r="N44" s="70"/>
      <c r="O44" s="176">
        <f t="shared" si="27"/>
        <v>40000</v>
      </c>
      <c r="P44" s="70"/>
      <c r="Q44" s="176">
        <f t="shared" si="28"/>
        <v>40000</v>
      </c>
    </row>
    <row r="45" spans="1:17" s="163" customFormat="1" ht="24" customHeight="1">
      <c r="A45" s="71"/>
      <c r="B45" s="72"/>
      <c r="C45" s="68" t="s">
        <v>164</v>
      </c>
      <c r="D45" s="65" t="s">
        <v>200</v>
      </c>
      <c r="E45" s="79">
        <v>15000</v>
      </c>
      <c r="F45" s="79"/>
      <c r="G45" s="176">
        <f t="shared" si="23"/>
        <v>15000</v>
      </c>
      <c r="H45" s="79"/>
      <c r="I45" s="176">
        <f t="shared" si="24"/>
        <v>15000</v>
      </c>
      <c r="J45" s="79"/>
      <c r="K45" s="176">
        <f t="shared" si="25"/>
        <v>15000</v>
      </c>
      <c r="L45" s="79"/>
      <c r="M45" s="176">
        <f t="shared" si="26"/>
        <v>15000</v>
      </c>
      <c r="N45" s="79"/>
      <c r="O45" s="176">
        <f t="shared" si="27"/>
        <v>15000</v>
      </c>
      <c r="P45" s="79"/>
      <c r="Q45" s="176">
        <f t="shared" si="28"/>
        <v>15000</v>
      </c>
    </row>
    <row r="46" spans="1:17" s="26" customFormat="1" ht="24" customHeight="1">
      <c r="A46" s="71"/>
      <c r="B46" s="72"/>
      <c r="C46" s="73">
        <v>2680</v>
      </c>
      <c r="D46" s="75" t="s">
        <v>241</v>
      </c>
      <c r="E46" s="70">
        <v>265538</v>
      </c>
      <c r="F46" s="70">
        <v>-249354</v>
      </c>
      <c r="G46" s="70">
        <f t="shared" si="23"/>
        <v>16184</v>
      </c>
      <c r="H46" s="70"/>
      <c r="I46" s="70">
        <f t="shared" si="24"/>
        <v>16184</v>
      </c>
      <c r="J46" s="70"/>
      <c r="K46" s="70">
        <f t="shared" si="25"/>
        <v>16184</v>
      </c>
      <c r="L46" s="70"/>
      <c r="M46" s="70">
        <f t="shared" si="26"/>
        <v>16184</v>
      </c>
      <c r="N46" s="70">
        <v>132675</v>
      </c>
      <c r="O46" s="70">
        <f t="shared" si="27"/>
        <v>148859</v>
      </c>
      <c r="P46" s="70"/>
      <c r="Q46" s="70">
        <f t="shared" si="28"/>
        <v>148859</v>
      </c>
    </row>
    <row r="47" spans="1:17" s="163" customFormat="1" ht="45">
      <c r="A47" s="71"/>
      <c r="B47" s="72">
        <v>75616</v>
      </c>
      <c r="C47" s="73"/>
      <c r="D47" s="75" t="s">
        <v>259</v>
      </c>
      <c r="E47" s="70">
        <f aca="true" t="shared" si="29" ref="E47:K47">SUM(E48:E56)</f>
        <v>4145186</v>
      </c>
      <c r="F47" s="70">
        <f t="shared" si="29"/>
        <v>0</v>
      </c>
      <c r="G47" s="70">
        <f t="shared" si="29"/>
        <v>4145186</v>
      </c>
      <c r="H47" s="70">
        <f t="shared" si="29"/>
        <v>0</v>
      </c>
      <c r="I47" s="70">
        <f t="shared" si="29"/>
        <v>4145186</v>
      </c>
      <c r="J47" s="70">
        <f t="shared" si="29"/>
        <v>0</v>
      </c>
      <c r="K47" s="70">
        <f t="shared" si="29"/>
        <v>4145186</v>
      </c>
      <c r="L47" s="70">
        <f aca="true" t="shared" si="30" ref="L47:Q47">SUM(L48:L56)</f>
        <v>0</v>
      </c>
      <c r="M47" s="70">
        <f t="shared" si="30"/>
        <v>4145186</v>
      </c>
      <c r="N47" s="70">
        <f t="shared" si="30"/>
        <v>0</v>
      </c>
      <c r="O47" s="70">
        <f t="shared" si="30"/>
        <v>4145186</v>
      </c>
      <c r="P47" s="70">
        <f t="shared" si="30"/>
        <v>0</v>
      </c>
      <c r="Q47" s="70">
        <f t="shared" si="30"/>
        <v>4145186</v>
      </c>
    </row>
    <row r="48" spans="1:17" s="163" customFormat="1" ht="21.75" customHeight="1">
      <c r="A48" s="71"/>
      <c r="B48" s="72"/>
      <c r="C48" s="73" t="s">
        <v>165</v>
      </c>
      <c r="D48" s="75" t="s">
        <v>31</v>
      </c>
      <c r="E48" s="176">
        <v>2680000</v>
      </c>
      <c r="F48" s="176"/>
      <c r="G48" s="176">
        <f>SUM(E48:F48)</f>
        <v>2680000</v>
      </c>
      <c r="H48" s="176"/>
      <c r="I48" s="176">
        <f>SUM(G48:H48)</f>
        <v>2680000</v>
      </c>
      <c r="J48" s="176"/>
      <c r="K48" s="176">
        <f>SUM(I48:J48)</f>
        <v>2680000</v>
      </c>
      <c r="L48" s="176"/>
      <c r="M48" s="176">
        <f>SUM(K48:L48)</f>
        <v>2680000</v>
      </c>
      <c r="N48" s="176"/>
      <c r="O48" s="176">
        <f>SUM(M48:N48)</f>
        <v>2680000</v>
      </c>
      <c r="P48" s="176"/>
      <c r="Q48" s="176">
        <f>SUM(O48:P48)</f>
        <v>2680000</v>
      </c>
    </row>
    <row r="49" spans="1:17" s="163" customFormat="1" ht="21.75" customHeight="1">
      <c r="A49" s="71"/>
      <c r="B49" s="72"/>
      <c r="C49" s="73" t="s">
        <v>166</v>
      </c>
      <c r="D49" s="75" t="s">
        <v>32</v>
      </c>
      <c r="E49" s="70">
        <v>322406</v>
      </c>
      <c r="F49" s="70"/>
      <c r="G49" s="176">
        <f aca="true" t="shared" si="31" ref="G49:G56">SUM(E49:F49)</f>
        <v>322406</v>
      </c>
      <c r="H49" s="70"/>
      <c r="I49" s="176">
        <f aca="true" t="shared" si="32" ref="I49:I56">SUM(G49:H49)</f>
        <v>322406</v>
      </c>
      <c r="J49" s="70"/>
      <c r="K49" s="176">
        <f aca="true" t="shared" si="33" ref="K49:K56">SUM(I49:J49)</f>
        <v>322406</v>
      </c>
      <c r="L49" s="70"/>
      <c r="M49" s="176">
        <f aca="true" t="shared" si="34" ref="M49:M56">SUM(K49:L49)</f>
        <v>322406</v>
      </c>
      <c r="N49" s="70"/>
      <c r="O49" s="176">
        <f aca="true" t="shared" si="35" ref="O49:O56">SUM(M49:N49)</f>
        <v>322406</v>
      </c>
      <c r="P49" s="70"/>
      <c r="Q49" s="176">
        <f aca="true" t="shared" si="36" ref="Q49:Q56">SUM(O49:P49)</f>
        <v>322406</v>
      </c>
    </row>
    <row r="50" spans="1:17" s="163" customFormat="1" ht="21.75" customHeight="1">
      <c r="A50" s="71"/>
      <c r="B50" s="72"/>
      <c r="C50" s="73" t="s">
        <v>167</v>
      </c>
      <c r="D50" s="75" t="s">
        <v>33</v>
      </c>
      <c r="E50" s="70">
        <v>8780</v>
      </c>
      <c r="F50" s="70"/>
      <c r="G50" s="176">
        <f t="shared" si="31"/>
        <v>8780</v>
      </c>
      <c r="H50" s="70"/>
      <c r="I50" s="176">
        <f t="shared" si="32"/>
        <v>8780</v>
      </c>
      <c r="J50" s="70"/>
      <c r="K50" s="176">
        <f t="shared" si="33"/>
        <v>8780</v>
      </c>
      <c r="L50" s="70"/>
      <c r="M50" s="176">
        <f t="shared" si="34"/>
        <v>8780</v>
      </c>
      <c r="N50" s="70"/>
      <c r="O50" s="176">
        <f t="shared" si="35"/>
        <v>8780</v>
      </c>
      <c r="P50" s="70"/>
      <c r="Q50" s="176">
        <f t="shared" si="36"/>
        <v>8780</v>
      </c>
    </row>
    <row r="51" spans="1:17" s="163" customFormat="1" ht="21.75" customHeight="1">
      <c r="A51" s="71"/>
      <c r="B51" s="72"/>
      <c r="C51" s="73" t="s">
        <v>168</v>
      </c>
      <c r="D51" s="75" t="s">
        <v>34</v>
      </c>
      <c r="E51" s="70">
        <v>297000</v>
      </c>
      <c r="F51" s="70"/>
      <c r="G51" s="176">
        <f t="shared" si="31"/>
        <v>297000</v>
      </c>
      <c r="H51" s="70"/>
      <c r="I51" s="176">
        <f t="shared" si="32"/>
        <v>297000</v>
      </c>
      <c r="J51" s="70"/>
      <c r="K51" s="176">
        <f t="shared" si="33"/>
        <v>297000</v>
      </c>
      <c r="L51" s="70"/>
      <c r="M51" s="176">
        <f t="shared" si="34"/>
        <v>297000</v>
      </c>
      <c r="N51" s="70"/>
      <c r="O51" s="176">
        <f t="shared" si="35"/>
        <v>297000</v>
      </c>
      <c r="P51" s="70"/>
      <c r="Q51" s="176">
        <f t="shared" si="36"/>
        <v>297000</v>
      </c>
    </row>
    <row r="52" spans="1:17" s="163" customFormat="1" ht="21.75" customHeight="1">
      <c r="A52" s="71"/>
      <c r="B52" s="72"/>
      <c r="C52" s="73" t="s">
        <v>307</v>
      </c>
      <c r="D52" s="75" t="s">
        <v>308</v>
      </c>
      <c r="E52" s="70">
        <v>20000</v>
      </c>
      <c r="F52" s="70"/>
      <c r="G52" s="176">
        <f t="shared" si="31"/>
        <v>20000</v>
      </c>
      <c r="H52" s="70"/>
      <c r="I52" s="176">
        <f t="shared" si="32"/>
        <v>20000</v>
      </c>
      <c r="J52" s="70"/>
      <c r="K52" s="176">
        <f t="shared" si="33"/>
        <v>20000</v>
      </c>
      <c r="L52" s="70"/>
      <c r="M52" s="176">
        <f t="shared" si="34"/>
        <v>20000</v>
      </c>
      <c r="N52" s="70"/>
      <c r="O52" s="176">
        <f t="shared" si="35"/>
        <v>20000</v>
      </c>
      <c r="P52" s="70"/>
      <c r="Q52" s="176">
        <f t="shared" si="36"/>
        <v>20000</v>
      </c>
    </row>
    <row r="53" spans="1:17" s="163" customFormat="1" ht="21" customHeight="1">
      <c r="A53" s="71"/>
      <c r="B53" s="72"/>
      <c r="C53" s="73" t="s">
        <v>255</v>
      </c>
      <c r="D53" s="75" t="s">
        <v>256</v>
      </c>
      <c r="E53" s="70">
        <f>11000+1000</f>
        <v>12000</v>
      </c>
      <c r="F53" s="70"/>
      <c r="G53" s="176">
        <f t="shared" si="31"/>
        <v>12000</v>
      </c>
      <c r="H53" s="70"/>
      <c r="I53" s="176">
        <f t="shared" si="32"/>
        <v>12000</v>
      </c>
      <c r="J53" s="70"/>
      <c r="K53" s="176">
        <f t="shared" si="33"/>
        <v>12000</v>
      </c>
      <c r="L53" s="70"/>
      <c r="M53" s="176">
        <f t="shared" si="34"/>
        <v>12000</v>
      </c>
      <c r="N53" s="70"/>
      <c r="O53" s="176">
        <f t="shared" si="35"/>
        <v>12000</v>
      </c>
      <c r="P53" s="70"/>
      <c r="Q53" s="176">
        <f t="shared" si="36"/>
        <v>12000</v>
      </c>
    </row>
    <row r="54" spans="1:17" s="163" customFormat="1" ht="21.75" customHeight="1">
      <c r="A54" s="71"/>
      <c r="B54" s="72"/>
      <c r="C54" s="73" t="s">
        <v>169</v>
      </c>
      <c r="D54" s="75" t="s">
        <v>36</v>
      </c>
      <c r="E54" s="70">
        <f>50000+20000</f>
        <v>70000</v>
      </c>
      <c r="F54" s="70"/>
      <c r="G54" s="176">
        <f t="shared" si="31"/>
        <v>70000</v>
      </c>
      <c r="H54" s="70"/>
      <c r="I54" s="176">
        <f t="shared" si="32"/>
        <v>70000</v>
      </c>
      <c r="J54" s="70"/>
      <c r="K54" s="176">
        <f t="shared" si="33"/>
        <v>70000</v>
      </c>
      <c r="L54" s="70"/>
      <c r="M54" s="176">
        <f t="shared" si="34"/>
        <v>70000</v>
      </c>
      <c r="N54" s="70"/>
      <c r="O54" s="176">
        <f t="shared" si="35"/>
        <v>70000</v>
      </c>
      <c r="P54" s="70"/>
      <c r="Q54" s="176">
        <f t="shared" si="36"/>
        <v>70000</v>
      </c>
    </row>
    <row r="55" spans="1:17" s="163" customFormat="1" ht="21.75" customHeight="1">
      <c r="A55" s="71"/>
      <c r="B55" s="72"/>
      <c r="C55" s="73" t="s">
        <v>171</v>
      </c>
      <c r="D55" s="75" t="s">
        <v>37</v>
      </c>
      <c r="E55" s="70">
        <f>650000+10000</f>
        <v>660000</v>
      </c>
      <c r="F55" s="70"/>
      <c r="G55" s="176">
        <f t="shared" si="31"/>
        <v>660000</v>
      </c>
      <c r="H55" s="70"/>
      <c r="I55" s="176">
        <f t="shared" si="32"/>
        <v>660000</v>
      </c>
      <c r="J55" s="70"/>
      <c r="K55" s="176">
        <f t="shared" si="33"/>
        <v>660000</v>
      </c>
      <c r="L55" s="70"/>
      <c r="M55" s="176">
        <f t="shared" si="34"/>
        <v>660000</v>
      </c>
      <c r="N55" s="70"/>
      <c r="O55" s="176">
        <f t="shared" si="35"/>
        <v>660000</v>
      </c>
      <c r="P55" s="70"/>
      <c r="Q55" s="176">
        <f t="shared" si="36"/>
        <v>660000</v>
      </c>
    </row>
    <row r="56" spans="1:17" s="163" customFormat="1" ht="24" customHeight="1">
      <c r="A56" s="71"/>
      <c r="B56" s="72"/>
      <c r="C56" s="73" t="s">
        <v>164</v>
      </c>
      <c r="D56" s="75" t="s">
        <v>200</v>
      </c>
      <c r="E56" s="70">
        <v>75000</v>
      </c>
      <c r="F56" s="70"/>
      <c r="G56" s="176">
        <f t="shared" si="31"/>
        <v>75000</v>
      </c>
      <c r="H56" s="70"/>
      <c r="I56" s="176">
        <f t="shared" si="32"/>
        <v>75000</v>
      </c>
      <c r="J56" s="70"/>
      <c r="K56" s="176">
        <f t="shared" si="33"/>
        <v>75000</v>
      </c>
      <c r="L56" s="70"/>
      <c r="M56" s="176">
        <f t="shared" si="34"/>
        <v>75000</v>
      </c>
      <c r="N56" s="70"/>
      <c r="O56" s="176">
        <f t="shared" si="35"/>
        <v>75000</v>
      </c>
      <c r="P56" s="70"/>
      <c r="Q56" s="176">
        <f t="shared" si="36"/>
        <v>75000</v>
      </c>
    </row>
    <row r="57" spans="1:17" s="163" customFormat="1" ht="33.75">
      <c r="A57" s="71"/>
      <c r="B57" s="72" t="s">
        <v>38</v>
      </c>
      <c r="C57" s="78"/>
      <c r="D57" s="75" t="s">
        <v>39</v>
      </c>
      <c r="E57" s="70">
        <f aca="true" t="shared" si="37" ref="E57:K57">SUM(E58:E61)</f>
        <v>694000</v>
      </c>
      <c r="F57" s="70">
        <f t="shared" si="37"/>
        <v>61800</v>
      </c>
      <c r="G57" s="70">
        <f t="shared" si="37"/>
        <v>755800</v>
      </c>
      <c r="H57" s="70">
        <f t="shared" si="37"/>
        <v>0</v>
      </c>
      <c r="I57" s="70">
        <f t="shared" si="37"/>
        <v>755800</v>
      </c>
      <c r="J57" s="70">
        <f t="shared" si="37"/>
        <v>0</v>
      </c>
      <c r="K57" s="70">
        <f t="shared" si="37"/>
        <v>755800</v>
      </c>
      <c r="L57" s="70">
        <f aca="true" t="shared" si="38" ref="L57:Q57">SUM(L58:L61)</f>
        <v>0</v>
      </c>
      <c r="M57" s="70">
        <f t="shared" si="38"/>
        <v>755800</v>
      </c>
      <c r="N57" s="70">
        <f t="shared" si="38"/>
        <v>138247</v>
      </c>
      <c r="O57" s="70">
        <f t="shared" si="38"/>
        <v>894047</v>
      </c>
      <c r="P57" s="70">
        <f t="shared" si="38"/>
        <v>0</v>
      </c>
      <c r="Q57" s="70">
        <f t="shared" si="38"/>
        <v>894047</v>
      </c>
    </row>
    <row r="58" spans="1:17" s="163" customFormat="1" ht="21.75" customHeight="1">
      <c r="A58" s="71"/>
      <c r="B58" s="72"/>
      <c r="C58" s="73" t="s">
        <v>172</v>
      </c>
      <c r="D58" s="75" t="s">
        <v>40</v>
      </c>
      <c r="E58" s="70">
        <v>200000</v>
      </c>
      <c r="F58" s="70"/>
      <c r="G58" s="70">
        <f>SUM(E58:F58)</f>
        <v>200000</v>
      </c>
      <c r="H58" s="70"/>
      <c r="I58" s="70">
        <f>SUM(G58:H58)</f>
        <v>200000</v>
      </c>
      <c r="J58" s="70"/>
      <c r="K58" s="70">
        <f>SUM(I58:J58)</f>
        <v>200000</v>
      </c>
      <c r="L58" s="70"/>
      <c r="M58" s="70">
        <f>SUM(K58:L58)</f>
        <v>200000</v>
      </c>
      <c r="N58" s="70"/>
      <c r="O58" s="70">
        <f>SUM(M58:N58)</f>
        <v>200000</v>
      </c>
      <c r="P58" s="70"/>
      <c r="Q58" s="70">
        <f>SUM(O58:P58)</f>
        <v>200000</v>
      </c>
    </row>
    <row r="59" spans="1:17" s="163" customFormat="1" ht="21.75" customHeight="1">
      <c r="A59" s="71"/>
      <c r="B59" s="72"/>
      <c r="C59" s="73" t="s">
        <v>170</v>
      </c>
      <c r="D59" s="75" t="s">
        <v>35</v>
      </c>
      <c r="E59" s="70">
        <v>15000</v>
      </c>
      <c r="F59" s="70"/>
      <c r="G59" s="70">
        <f>SUM(E59:F59)</f>
        <v>15000</v>
      </c>
      <c r="H59" s="70"/>
      <c r="I59" s="70">
        <f>SUM(G59:H59)</f>
        <v>15000</v>
      </c>
      <c r="J59" s="70"/>
      <c r="K59" s="70">
        <f>SUM(I59:J59)</f>
        <v>15000</v>
      </c>
      <c r="L59" s="70"/>
      <c r="M59" s="70">
        <f>SUM(K59:L59)</f>
        <v>15000</v>
      </c>
      <c r="N59" s="70"/>
      <c r="O59" s="70">
        <f>SUM(M59:N59)</f>
        <v>15000</v>
      </c>
      <c r="P59" s="70"/>
      <c r="Q59" s="70">
        <f>SUM(O59:P59)</f>
        <v>15000</v>
      </c>
    </row>
    <row r="60" spans="1:17" s="163" customFormat="1" ht="24" customHeight="1">
      <c r="A60" s="71"/>
      <c r="B60" s="72"/>
      <c r="C60" s="73" t="s">
        <v>176</v>
      </c>
      <c r="D60" s="75" t="s">
        <v>278</v>
      </c>
      <c r="E60" s="70">
        <v>339000</v>
      </c>
      <c r="F60" s="70"/>
      <c r="G60" s="70">
        <f>SUM(E60:F60)</f>
        <v>339000</v>
      </c>
      <c r="H60" s="70"/>
      <c r="I60" s="70">
        <f>SUM(G60:H60)</f>
        <v>339000</v>
      </c>
      <c r="J60" s="70"/>
      <c r="K60" s="70">
        <f>SUM(I60:J60)</f>
        <v>339000</v>
      </c>
      <c r="L60" s="70"/>
      <c r="M60" s="70">
        <f>SUM(K60:L60)</f>
        <v>339000</v>
      </c>
      <c r="N60" s="70"/>
      <c r="O60" s="70">
        <f>SUM(M60:N60)</f>
        <v>339000</v>
      </c>
      <c r="P60" s="70"/>
      <c r="Q60" s="70">
        <f>SUM(O60:P60)</f>
        <v>339000</v>
      </c>
    </row>
    <row r="61" spans="1:17" s="163" customFormat="1" ht="33.75">
      <c r="A61" s="71"/>
      <c r="B61" s="72"/>
      <c r="C61" s="73" t="s">
        <v>157</v>
      </c>
      <c r="D61" s="75" t="s">
        <v>7</v>
      </c>
      <c r="E61" s="70">
        <f>30000+100000+10000</f>
        <v>140000</v>
      </c>
      <c r="F61" s="70">
        <v>61800</v>
      </c>
      <c r="G61" s="70">
        <f>SUM(E61:F61)</f>
        <v>201800</v>
      </c>
      <c r="H61" s="70"/>
      <c r="I61" s="70">
        <f>SUM(G61:H61)</f>
        <v>201800</v>
      </c>
      <c r="J61" s="70"/>
      <c r="K61" s="70">
        <f>SUM(I61:J61)</f>
        <v>201800</v>
      </c>
      <c r="L61" s="70"/>
      <c r="M61" s="70">
        <f>SUM(K61:L61)</f>
        <v>201800</v>
      </c>
      <c r="N61" s="70">
        <v>138247</v>
      </c>
      <c r="O61" s="70">
        <f>SUM(M61:N61)</f>
        <v>340047</v>
      </c>
      <c r="P61" s="70"/>
      <c r="Q61" s="70">
        <f>SUM(O61:P61)</f>
        <v>340047</v>
      </c>
    </row>
    <row r="62" spans="1:17" s="163" customFormat="1" ht="24" customHeight="1">
      <c r="A62" s="71"/>
      <c r="B62" s="72" t="s">
        <v>41</v>
      </c>
      <c r="C62" s="78"/>
      <c r="D62" s="75" t="s">
        <v>42</v>
      </c>
      <c r="E62" s="70">
        <f aca="true" t="shared" si="39" ref="E62:K62">SUM(E63:E64)</f>
        <v>10979871</v>
      </c>
      <c r="F62" s="70">
        <f t="shared" si="39"/>
        <v>0</v>
      </c>
      <c r="G62" s="70">
        <f t="shared" si="39"/>
        <v>10979871</v>
      </c>
      <c r="H62" s="70">
        <f t="shared" si="39"/>
        <v>0</v>
      </c>
      <c r="I62" s="70">
        <f t="shared" si="39"/>
        <v>10979871</v>
      </c>
      <c r="J62" s="70">
        <f t="shared" si="39"/>
        <v>0</v>
      </c>
      <c r="K62" s="70">
        <f t="shared" si="39"/>
        <v>10979871</v>
      </c>
      <c r="L62" s="70">
        <f aca="true" t="shared" si="40" ref="L62:Q62">SUM(L63:L64)</f>
        <v>0</v>
      </c>
      <c r="M62" s="70">
        <f t="shared" si="40"/>
        <v>10979871</v>
      </c>
      <c r="N62" s="70">
        <f t="shared" si="40"/>
        <v>0</v>
      </c>
      <c r="O62" s="70">
        <f t="shared" si="40"/>
        <v>10979871</v>
      </c>
      <c r="P62" s="70">
        <f t="shared" si="40"/>
        <v>0</v>
      </c>
      <c r="Q62" s="70">
        <f t="shared" si="40"/>
        <v>10979871</v>
      </c>
    </row>
    <row r="63" spans="1:17" s="163" customFormat="1" ht="21.75" customHeight="1">
      <c r="A63" s="71"/>
      <c r="B63" s="72"/>
      <c r="C63" s="73" t="s">
        <v>173</v>
      </c>
      <c r="D63" s="75" t="s">
        <v>43</v>
      </c>
      <c r="E63" s="70">
        <v>10079871</v>
      </c>
      <c r="F63" s="70"/>
      <c r="G63" s="70">
        <f>SUM(E63:F63)</f>
        <v>10079871</v>
      </c>
      <c r="H63" s="70"/>
      <c r="I63" s="70">
        <f>SUM(G63:H63)</f>
        <v>10079871</v>
      </c>
      <c r="J63" s="70"/>
      <c r="K63" s="70">
        <f>SUM(I63:J63)</f>
        <v>10079871</v>
      </c>
      <c r="L63" s="70"/>
      <c r="M63" s="70">
        <f>SUM(K63:L63)</f>
        <v>10079871</v>
      </c>
      <c r="N63" s="70"/>
      <c r="O63" s="70">
        <f>SUM(M63:N63)</f>
        <v>10079871</v>
      </c>
      <c r="P63" s="70"/>
      <c r="Q63" s="70">
        <f>SUM(O63:P63)</f>
        <v>10079871</v>
      </c>
    </row>
    <row r="64" spans="1:17" s="163" customFormat="1" ht="21.75" customHeight="1">
      <c r="A64" s="71"/>
      <c r="B64" s="72"/>
      <c r="C64" s="73" t="s">
        <v>174</v>
      </c>
      <c r="D64" s="75" t="s">
        <v>44</v>
      </c>
      <c r="E64" s="70">
        <f>700000+200000</f>
        <v>900000</v>
      </c>
      <c r="F64" s="70"/>
      <c r="G64" s="70">
        <f>SUM(E64:F64)</f>
        <v>900000</v>
      </c>
      <c r="H64" s="70"/>
      <c r="I64" s="70">
        <f>SUM(G64:H64)</f>
        <v>900000</v>
      </c>
      <c r="J64" s="70"/>
      <c r="K64" s="70">
        <f>SUM(I64:J64)</f>
        <v>900000</v>
      </c>
      <c r="L64" s="70"/>
      <c r="M64" s="70">
        <f>SUM(K64:L64)</f>
        <v>900000</v>
      </c>
      <c r="N64" s="70"/>
      <c r="O64" s="70">
        <f>SUM(M64:N64)</f>
        <v>900000</v>
      </c>
      <c r="P64" s="70"/>
      <c r="Q64" s="70">
        <f>SUM(O64:P64)</f>
        <v>900000</v>
      </c>
    </row>
    <row r="65" spans="1:17" s="8" customFormat="1" ht="24" customHeight="1">
      <c r="A65" s="31" t="s">
        <v>45</v>
      </c>
      <c r="B65" s="4"/>
      <c r="C65" s="5"/>
      <c r="D65" s="32" t="s">
        <v>46</v>
      </c>
      <c r="E65" s="57">
        <f aca="true" t="shared" si="41" ref="E65:K65">SUM(E66,E68,E70,E72)</f>
        <v>19052031</v>
      </c>
      <c r="F65" s="57">
        <f t="shared" si="41"/>
        <v>0</v>
      </c>
      <c r="G65" s="57">
        <f t="shared" si="41"/>
        <v>19052031</v>
      </c>
      <c r="H65" s="57">
        <f t="shared" si="41"/>
        <v>1268082</v>
      </c>
      <c r="I65" s="57">
        <f t="shared" si="41"/>
        <v>20320113</v>
      </c>
      <c r="J65" s="57">
        <f t="shared" si="41"/>
        <v>0</v>
      </c>
      <c r="K65" s="57">
        <f t="shared" si="41"/>
        <v>20320113</v>
      </c>
      <c r="L65" s="57">
        <f aca="true" t="shared" si="42" ref="L65:Q65">SUM(L66,L68,L70,L72)</f>
        <v>0</v>
      </c>
      <c r="M65" s="57">
        <f t="shared" si="42"/>
        <v>20320113</v>
      </c>
      <c r="N65" s="57">
        <f t="shared" si="42"/>
        <v>0</v>
      </c>
      <c r="O65" s="57">
        <f t="shared" si="42"/>
        <v>20320113</v>
      </c>
      <c r="P65" s="57">
        <f t="shared" si="42"/>
        <v>0</v>
      </c>
      <c r="Q65" s="57">
        <f t="shared" si="42"/>
        <v>20320113</v>
      </c>
    </row>
    <row r="66" spans="1:17" s="26" customFormat="1" ht="24" customHeight="1">
      <c r="A66" s="71"/>
      <c r="B66" s="72" t="s">
        <v>47</v>
      </c>
      <c r="C66" s="78"/>
      <c r="D66" s="75" t="s">
        <v>48</v>
      </c>
      <c r="E66" s="70">
        <f aca="true" t="shared" si="43" ref="E66:Q66">SUM(E67)</f>
        <v>14178148</v>
      </c>
      <c r="F66" s="70">
        <f t="shared" si="43"/>
        <v>0</v>
      </c>
      <c r="G66" s="70">
        <f t="shared" si="43"/>
        <v>14178148</v>
      </c>
      <c r="H66" s="70">
        <f t="shared" si="43"/>
        <v>1268082</v>
      </c>
      <c r="I66" s="70">
        <f t="shared" si="43"/>
        <v>15446230</v>
      </c>
      <c r="J66" s="70">
        <f t="shared" si="43"/>
        <v>0</v>
      </c>
      <c r="K66" s="70">
        <f t="shared" si="43"/>
        <v>15446230</v>
      </c>
      <c r="L66" s="70">
        <f t="shared" si="43"/>
        <v>0</v>
      </c>
      <c r="M66" s="70">
        <f t="shared" si="43"/>
        <v>15446230</v>
      </c>
      <c r="N66" s="70">
        <f t="shared" si="43"/>
        <v>0</v>
      </c>
      <c r="O66" s="70">
        <f t="shared" si="43"/>
        <v>15446230</v>
      </c>
      <c r="P66" s="70">
        <f t="shared" si="43"/>
        <v>0</v>
      </c>
      <c r="Q66" s="70">
        <f t="shared" si="43"/>
        <v>15446230</v>
      </c>
    </row>
    <row r="67" spans="1:17" s="26" customFormat="1" ht="21.75" customHeight="1">
      <c r="A67" s="71"/>
      <c r="B67" s="72"/>
      <c r="C67" s="73">
        <v>2920</v>
      </c>
      <c r="D67" s="75" t="s">
        <v>49</v>
      </c>
      <c r="E67" s="70">
        <v>14178148</v>
      </c>
      <c r="F67" s="70"/>
      <c r="G67" s="70">
        <f>SUM(E67:F67)</f>
        <v>14178148</v>
      </c>
      <c r="H67" s="70">
        <v>1268082</v>
      </c>
      <c r="I67" s="70">
        <f>SUM(G67:H67)</f>
        <v>15446230</v>
      </c>
      <c r="J67" s="70"/>
      <c r="K67" s="70">
        <f>SUM(I67:J67)</f>
        <v>15446230</v>
      </c>
      <c r="L67" s="70"/>
      <c r="M67" s="70">
        <f>SUM(K67:L67)</f>
        <v>15446230</v>
      </c>
      <c r="N67" s="70"/>
      <c r="O67" s="70">
        <f>SUM(M67:N67)</f>
        <v>15446230</v>
      </c>
      <c r="P67" s="70"/>
      <c r="Q67" s="70">
        <f>SUM(O67:P67)</f>
        <v>15446230</v>
      </c>
    </row>
    <row r="68" spans="1:17" s="26" customFormat="1" ht="21.75" customHeight="1">
      <c r="A68" s="71"/>
      <c r="B68" s="72" t="s">
        <v>183</v>
      </c>
      <c r="C68" s="78"/>
      <c r="D68" s="75" t="s">
        <v>182</v>
      </c>
      <c r="E68" s="70">
        <f aca="true" t="shared" si="44" ref="E68:Q68">SUM(E69)</f>
        <v>4236970</v>
      </c>
      <c r="F68" s="70">
        <f t="shared" si="44"/>
        <v>0</v>
      </c>
      <c r="G68" s="70">
        <f t="shared" si="44"/>
        <v>4236970</v>
      </c>
      <c r="H68" s="70">
        <f t="shared" si="44"/>
        <v>0</v>
      </c>
      <c r="I68" s="70">
        <f t="shared" si="44"/>
        <v>4236970</v>
      </c>
      <c r="J68" s="70">
        <f t="shared" si="44"/>
        <v>0</v>
      </c>
      <c r="K68" s="70">
        <f t="shared" si="44"/>
        <v>4236970</v>
      </c>
      <c r="L68" s="70">
        <f t="shared" si="44"/>
        <v>0</v>
      </c>
      <c r="M68" s="70">
        <f t="shared" si="44"/>
        <v>4236970</v>
      </c>
      <c r="N68" s="70">
        <f t="shared" si="44"/>
        <v>0</v>
      </c>
      <c r="O68" s="70">
        <f t="shared" si="44"/>
        <v>4236970</v>
      </c>
      <c r="P68" s="70">
        <f t="shared" si="44"/>
        <v>0</v>
      </c>
      <c r="Q68" s="70">
        <f t="shared" si="44"/>
        <v>4236970</v>
      </c>
    </row>
    <row r="69" spans="1:17" s="26" customFormat="1" ht="21.75" customHeight="1">
      <c r="A69" s="71"/>
      <c r="B69" s="72"/>
      <c r="C69" s="73">
        <v>2920</v>
      </c>
      <c r="D69" s="75" t="s">
        <v>49</v>
      </c>
      <c r="E69" s="70">
        <f>1952635+2284335</f>
        <v>4236970</v>
      </c>
      <c r="F69" s="70"/>
      <c r="G69" s="70">
        <f>SUM(E69:F69)</f>
        <v>4236970</v>
      </c>
      <c r="H69" s="70"/>
      <c r="I69" s="70">
        <f>SUM(G69:H69)</f>
        <v>4236970</v>
      </c>
      <c r="J69" s="70"/>
      <c r="K69" s="70">
        <f>SUM(I69:J69)</f>
        <v>4236970</v>
      </c>
      <c r="L69" s="70"/>
      <c r="M69" s="70">
        <f>SUM(K69:L69)</f>
        <v>4236970</v>
      </c>
      <c r="N69" s="70"/>
      <c r="O69" s="70">
        <f>SUM(M69:N69)</f>
        <v>4236970</v>
      </c>
      <c r="P69" s="70"/>
      <c r="Q69" s="70">
        <f>SUM(O69:P69)</f>
        <v>4236970</v>
      </c>
    </row>
    <row r="70" spans="1:17" s="26" customFormat="1" ht="21" customHeight="1">
      <c r="A70" s="71"/>
      <c r="B70" s="72">
        <v>75814</v>
      </c>
      <c r="C70" s="78"/>
      <c r="D70" s="75" t="s">
        <v>50</v>
      </c>
      <c r="E70" s="70">
        <f aca="true" t="shared" si="45" ref="E70:Q70">SUM(E71)</f>
        <v>5000</v>
      </c>
      <c r="F70" s="70">
        <f t="shared" si="45"/>
        <v>0</v>
      </c>
      <c r="G70" s="70">
        <f t="shared" si="45"/>
        <v>5000</v>
      </c>
      <c r="H70" s="70">
        <f t="shared" si="45"/>
        <v>0</v>
      </c>
      <c r="I70" s="70">
        <f t="shared" si="45"/>
        <v>5000</v>
      </c>
      <c r="J70" s="70">
        <f t="shared" si="45"/>
        <v>0</v>
      </c>
      <c r="K70" s="70">
        <f t="shared" si="45"/>
        <v>5000</v>
      </c>
      <c r="L70" s="70">
        <f t="shared" si="45"/>
        <v>0</v>
      </c>
      <c r="M70" s="70">
        <f t="shared" si="45"/>
        <v>5000</v>
      </c>
      <c r="N70" s="70">
        <f t="shared" si="45"/>
        <v>0</v>
      </c>
      <c r="O70" s="70">
        <f t="shared" si="45"/>
        <v>5000</v>
      </c>
      <c r="P70" s="70">
        <f t="shared" si="45"/>
        <v>0</v>
      </c>
      <c r="Q70" s="70">
        <f t="shared" si="45"/>
        <v>5000</v>
      </c>
    </row>
    <row r="71" spans="1:17" s="26" customFormat="1" ht="21.75" customHeight="1">
      <c r="A71" s="71"/>
      <c r="B71" s="72"/>
      <c r="C71" s="73" t="s">
        <v>160</v>
      </c>
      <c r="D71" s="75" t="s">
        <v>11</v>
      </c>
      <c r="E71" s="176">
        <v>5000</v>
      </c>
      <c r="F71" s="176"/>
      <c r="G71" s="176">
        <f>SUM(E71:F71)</f>
        <v>5000</v>
      </c>
      <c r="H71" s="176"/>
      <c r="I71" s="176">
        <f>SUM(G71:H71)</f>
        <v>5000</v>
      </c>
      <c r="J71" s="176"/>
      <c r="K71" s="176">
        <f>SUM(I71:J71)</f>
        <v>5000</v>
      </c>
      <c r="L71" s="176"/>
      <c r="M71" s="176">
        <f>SUM(K71:L71)</f>
        <v>5000</v>
      </c>
      <c r="N71" s="176"/>
      <c r="O71" s="176">
        <f>SUM(M71:N71)</f>
        <v>5000</v>
      </c>
      <c r="P71" s="176"/>
      <c r="Q71" s="176">
        <f>SUM(O71:P71)</f>
        <v>5000</v>
      </c>
    </row>
    <row r="72" spans="1:17" s="26" customFormat="1" ht="20.25" customHeight="1">
      <c r="A72" s="71"/>
      <c r="B72" s="72" t="s">
        <v>210</v>
      </c>
      <c r="C72" s="78"/>
      <c r="D72" s="75" t="s">
        <v>211</v>
      </c>
      <c r="E72" s="70">
        <f aca="true" t="shared" si="46" ref="E72:Q72">SUM(E73)</f>
        <v>631913</v>
      </c>
      <c r="F72" s="70">
        <f t="shared" si="46"/>
        <v>0</v>
      </c>
      <c r="G72" s="70">
        <f t="shared" si="46"/>
        <v>631913</v>
      </c>
      <c r="H72" s="70">
        <f t="shared" si="46"/>
        <v>0</v>
      </c>
      <c r="I72" s="70">
        <f t="shared" si="46"/>
        <v>631913</v>
      </c>
      <c r="J72" s="70">
        <f t="shared" si="46"/>
        <v>0</v>
      </c>
      <c r="K72" s="70">
        <f t="shared" si="46"/>
        <v>631913</v>
      </c>
      <c r="L72" s="70">
        <f t="shared" si="46"/>
        <v>0</v>
      </c>
      <c r="M72" s="70">
        <f t="shared" si="46"/>
        <v>631913</v>
      </c>
      <c r="N72" s="70">
        <f t="shared" si="46"/>
        <v>0</v>
      </c>
      <c r="O72" s="70">
        <f t="shared" si="46"/>
        <v>631913</v>
      </c>
      <c r="P72" s="70">
        <f t="shared" si="46"/>
        <v>0</v>
      </c>
      <c r="Q72" s="70">
        <f t="shared" si="46"/>
        <v>631913</v>
      </c>
    </row>
    <row r="73" spans="1:17" s="26" customFormat="1" ht="21.75" customHeight="1">
      <c r="A73" s="71"/>
      <c r="B73" s="72"/>
      <c r="C73" s="73">
        <v>2920</v>
      </c>
      <c r="D73" s="75" t="s">
        <v>49</v>
      </c>
      <c r="E73" s="70">
        <v>631913</v>
      </c>
      <c r="F73" s="70"/>
      <c r="G73" s="70">
        <f>SUM(E73:F73)</f>
        <v>631913</v>
      </c>
      <c r="H73" s="70"/>
      <c r="I73" s="70">
        <f>SUM(G73:H73)</f>
        <v>631913</v>
      </c>
      <c r="J73" s="70"/>
      <c r="K73" s="70">
        <f>SUM(I73:J73)</f>
        <v>631913</v>
      </c>
      <c r="L73" s="70"/>
      <c r="M73" s="70">
        <f>SUM(K73:L73)</f>
        <v>631913</v>
      </c>
      <c r="N73" s="70"/>
      <c r="O73" s="70">
        <f>SUM(M73:N73)</f>
        <v>631913</v>
      </c>
      <c r="P73" s="70"/>
      <c r="Q73" s="70">
        <f>SUM(O73:P73)</f>
        <v>631913</v>
      </c>
    </row>
    <row r="74" spans="1:17" s="26" customFormat="1" ht="24" customHeight="1">
      <c r="A74" s="36" t="s">
        <v>107</v>
      </c>
      <c r="B74" s="37"/>
      <c r="C74" s="38"/>
      <c r="D74" s="39" t="s">
        <v>108</v>
      </c>
      <c r="E74" s="57">
        <f aca="true" t="shared" si="47" ref="E74:K74">SUM(E75,E83,E88,E93)</f>
        <v>1369207</v>
      </c>
      <c r="F74" s="57">
        <f t="shared" si="47"/>
        <v>0</v>
      </c>
      <c r="G74" s="57">
        <f t="shared" si="47"/>
        <v>1369207</v>
      </c>
      <c r="H74" s="57">
        <f t="shared" si="47"/>
        <v>73004</v>
      </c>
      <c r="I74" s="57">
        <f t="shared" si="47"/>
        <v>1442211</v>
      </c>
      <c r="J74" s="57">
        <f t="shared" si="47"/>
        <v>0</v>
      </c>
      <c r="K74" s="57">
        <f t="shared" si="47"/>
        <v>1442211</v>
      </c>
      <c r="L74" s="57">
        <f aca="true" t="shared" si="48" ref="L74:Q74">SUM(L75,L83,L88,L93)</f>
        <v>120000</v>
      </c>
      <c r="M74" s="57">
        <f t="shared" si="48"/>
        <v>1562211</v>
      </c>
      <c r="N74" s="57">
        <f t="shared" si="48"/>
        <v>2489</v>
      </c>
      <c r="O74" s="57">
        <f t="shared" si="48"/>
        <v>1564700</v>
      </c>
      <c r="P74" s="57">
        <f t="shared" si="48"/>
        <v>0</v>
      </c>
      <c r="Q74" s="57">
        <f t="shared" si="48"/>
        <v>1564700</v>
      </c>
    </row>
    <row r="75" spans="1:17" s="26" customFormat="1" ht="24" customHeight="1">
      <c r="A75" s="66"/>
      <c r="B75" s="80" t="s">
        <v>109</v>
      </c>
      <c r="C75" s="84"/>
      <c r="D75" s="41" t="s">
        <v>51</v>
      </c>
      <c r="E75" s="70">
        <f aca="true" t="shared" si="49" ref="E75:J75">SUM(E76:E81)</f>
        <v>159260</v>
      </c>
      <c r="F75" s="70">
        <f t="shared" si="49"/>
        <v>0</v>
      </c>
      <c r="G75" s="70">
        <f t="shared" si="49"/>
        <v>159260</v>
      </c>
      <c r="H75" s="70">
        <f t="shared" si="49"/>
        <v>8414</v>
      </c>
      <c r="I75" s="70">
        <f t="shared" si="49"/>
        <v>167674</v>
      </c>
      <c r="J75" s="70">
        <f t="shared" si="49"/>
        <v>0</v>
      </c>
      <c r="K75" s="70">
        <f aca="true" t="shared" si="50" ref="K75:Q75">SUM(K76:K82)</f>
        <v>167674</v>
      </c>
      <c r="L75" s="70">
        <f t="shared" si="50"/>
        <v>120000</v>
      </c>
      <c r="M75" s="70">
        <f t="shared" si="50"/>
        <v>287674</v>
      </c>
      <c r="N75" s="70">
        <f t="shared" si="50"/>
        <v>1584</v>
      </c>
      <c r="O75" s="70">
        <f t="shared" si="50"/>
        <v>289258</v>
      </c>
      <c r="P75" s="70">
        <f t="shared" si="50"/>
        <v>0</v>
      </c>
      <c r="Q75" s="70">
        <f t="shared" si="50"/>
        <v>289258</v>
      </c>
    </row>
    <row r="76" spans="1:17" s="26" customFormat="1" ht="24" customHeight="1">
      <c r="A76" s="80"/>
      <c r="B76" s="80"/>
      <c r="C76" s="81" t="s">
        <v>181</v>
      </c>
      <c r="D76" s="41" t="s">
        <v>141</v>
      </c>
      <c r="E76" s="176">
        <v>700</v>
      </c>
      <c r="F76" s="176"/>
      <c r="G76" s="176">
        <f>SUM(E76:F76)</f>
        <v>700</v>
      </c>
      <c r="H76" s="176"/>
      <c r="I76" s="176">
        <f aca="true" t="shared" si="51" ref="I76:I81">SUM(G76:H76)</f>
        <v>700</v>
      </c>
      <c r="J76" s="176"/>
      <c r="K76" s="176">
        <f aca="true" t="shared" si="52" ref="K76:K81">SUM(I76:J76)</f>
        <v>700</v>
      </c>
      <c r="L76" s="176"/>
      <c r="M76" s="176">
        <f aca="true" t="shared" si="53" ref="M76:M82">SUM(K76:L76)</f>
        <v>700</v>
      </c>
      <c r="N76" s="176"/>
      <c r="O76" s="176">
        <f aca="true" t="shared" si="54" ref="O76:O82">SUM(M76:N76)</f>
        <v>700</v>
      </c>
      <c r="P76" s="176"/>
      <c r="Q76" s="176">
        <f aca="true" t="shared" si="55" ref="Q76:Q82">SUM(O76:P76)</f>
        <v>700</v>
      </c>
    </row>
    <row r="77" spans="1:17" s="26" customFormat="1" ht="56.25">
      <c r="A77" s="80"/>
      <c r="B77" s="66"/>
      <c r="C77" s="81" t="s">
        <v>159</v>
      </c>
      <c r="D77" s="75" t="s">
        <v>55</v>
      </c>
      <c r="E77" s="176">
        <f>64550+58278</f>
        <v>122828</v>
      </c>
      <c r="F77" s="176"/>
      <c r="G77" s="176">
        <f>SUM(E77:F77)</f>
        <v>122828</v>
      </c>
      <c r="H77" s="176">
        <v>-5020</v>
      </c>
      <c r="I77" s="176">
        <f t="shared" si="51"/>
        <v>117808</v>
      </c>
      <c r="J77" s="176"/>
      <c r="K77" s="176">
        <f t="shared" si="52"/>
        <v>117808</v>
      </c>
      <c r="L77" s="176"/>
      <c r="M77" s="176">
        <f t="shared" si="53"/>
        <v>117808</v>
      </c>
      <c r="N77" s="176"/>
      <c r="O77" s="176">
        <f t="shared" si="54"/>
        <v>117808</v>
      </c>
      <c r="P77" s="176"/>
      <c r="Q77" s="176">
        <f t="shared" si="55"/>
        <v>117808</v>
      </c>
    </row>
    <row r="78" spans="1:17" s="26" customFormat="1" ht="23.25" customHeight="1">
      <c r="A78" s="80"/>
      <c r="B78" s="66"/>
      <c r="C78" s="118" t="s">
        <v>160</v>
      </c>
      <c r="D78" s="65" t="s">
        <v>11</v>
      </c>
      <c r="E78" s="176">
        <v>192</v>
      </c>
      <c r="F78" s="176"/>
      <c r="G78" s="176">
        <f>SUM(E78:F78)</f>
        <v>192</v>
      </c>
      <c r="H78" s="176">
        <v>1000</v>
      </c>
      <c r="I78" s="176">
        <f t="shared" si="51"/>
        <v>1192</v>
      </c>
      <c r="J78" s="176"/>
      <c r="K78" s="176">
        <f t="shared" si="52"/>
        <v>1192</v>
      </c>
      <c r="L78" s="176"/>
      <c r="M78" s="176">
        <f t="shared" si="53"/>
        <v>1192</v>
      </c>
      <c r="N78" s="176"/>
      <c r="O78" s="176">
        <f t="shared" si="54"/>
        <v>1192</v>
      </c>
      <c r="P78" s="176"/>
      <c r="Q78" s="176">
        <f t="shared" si="55"/>
        <v>1192</v>
      </c>
    </row>
    <row r="79" spans="1:17" s="26" customFormat="1" ht="23.25" customHeight="1">
      <c r="A79" s="80"/>
      <c r="B79" s="66"/>
      <c r="C79" s="118" t="s">
        <v>393</v>
      </c>
      <c r="D79" s="65" t="s">
        <v>481</v>
      </c>
      <c r="E79" s="176"/>
      <c r="F79" s="176"/>
      <c r="G79" s="176">
        <v>0</v>
      </c>
      <c r="H79" s="176">
        <v>2234</v>
      </c>
      <c r="I79" s="176">
        <f t="shared" si="51"/>
        <v>2234</v>
      </c>
      <c r="J79" s="176"/>
      <c r="K79" s="176">
        <f t="shared" si="52"/>
        <v>2234</v>
      </c>
      <c r="L79" s="176"/>
      <c r="M79" s="176">
        <f t="shared" si="53"/>
        <v>2234</v>
      </c>
      <c r="N79" s="176"/>
      <c r="O79" s="176">
        <f t="shared" si="54"/>
        <v>2234</v>
      </c>
      <c r="P79" s="176"/>
      <c r="Q79" s="176">
        <f t="shared" si="55"/>
        <v>2234</v>
      </c>
    </row>
    <row r="80" spans="1:17" s="26" customFormat="1" ht="22.5" customHeight="1">
      <c r="A80" s="80"/>
      <c r="B80" s="66"/>
      <c r="C80" s="118" t="s">
        <v>161</v>
      </c>
      <c r="D80" s="41" t="s">
        <v>12</v>
      </c>
      <c r="E80" s="176">
        <v>29280</v>
      </c>
      <c r="F80" s="176"/>
      <c r="G80" s="176">
        <f>SUM(E80:F80)</f>
        <v>29280</v>
      </c>
      <c r="H80" s="176">
        <v>10200</v>
      </c>
      <c r="I80" s="176">
        <f t="shared" si="51"/>
        <v>39480</v>
      </c>
      <c r="J80" s="176"/>
      <c r="K80" s="176">
        <f t="shared" si="52"/>
        <v>39480</v>
      </c>
      <c r="L80" s="176"/>
      <c r="M80" s="176">
        <f t="shared" si="53"/>
        <v>39480</v>
      </c>
      <c r="N80" s="176">
        <v>1584</v>
      </c>
      <c r="O80" s="176">
        <f t="shared" si="54"/>
        <v>41064</v>
      </c>
      <c r="P80" s="176"/>
      <c r="Q80" s="176">
        <f t="shared" si="55"/>
        <v>41064</v>
      </c>
    </row>
    <row r="81" spans="1:17" s="26" customFormat="1" ht="45">
      <c r="A81" s="80"/>
      <c r="B81" s="66"/>
      <c r="C81" s="118">
        <v>2310</v>
      </c>
      <c r="D81" s="41" t="s">
        <v>222</v>
      </c>
      <c r="E81" s="176">
        <v>6260</v>
      </c>
      <c r="F81" s="176"/>
      <c r="G81" s="176">
        <f>SUM(E81:F81)</f>
        <v>6260</v>
      </c>
      <c r="H81" s="176"/>
      <c r="I81" s="176">
        <f t="shared" si="51"/>
        <v>6260</v>
      </c>
      <c r="J81" s="176"/>
      <c r="K81" s="176">
        <f t="shared" si="52"/>
        <v>6260</v>
      </c>
      <c r="L81" s="176"/>
      <c r="M81" s="176">
        <f t="shared" si="53"/>
        <v>6260</v>
      </c>
      <c r="N81" s="176"/>
      <c r="O81" s="176">
        <f t="shared" si="54"/>
        <v>6260</v>
      </c>
      <c r="P81" s="176"/>
      <c r="Q81" s="176">
        <f t="shared" si="55"/>
        <v>6260</v>
      </c>
    </row>
    <row r="82" spans="1:17" s="26" customFormat="1" ht="45">
      <c r="A82" s="80"/>
      <c r="B82" s="66"/>
      <c r="C82" s="118">
        <v>6330</v>
      </c>
      <c r="D82" s="41" t="s">
        <v>428</v>
      </c>
      <c r="E82" s="176"/>
      <c r="F82" s="176"/>
      <c r="G82" s="176"/>
      <c r="H82" s="176"/>
      <c r="I82" s="176"/>
      <c r="J82" s="176"/>
      <c r="K82" s="176">
        <v>0</v>
      </c>
      <c r="L82" s="176">
        <v>120000</v>
      </c>
      <c r="M82" s="176">
        <f t="shared" si="53"/>
        <v>120000</v>
      </c>
      <c r="N82" s="176"/>
      <c r="O82" s="176">
        <f t="shared" si="54"/>
        <v>120000</v>
      </c>
      <c r="P82" s="176"/>
      <c r="Q82" s="176">
        <f t="shared" si="55"/>
        <v>120000</v>
      </c>
    </row>
    <row r="83" spans="1:17" s="26" customFormat="1" ht="24" customHeight="1">
      <c r="A83" s="71"/>
      <c r="B83" s="72">
        <v>80104</v>
      </c>
      <c r="C83" s="73"/>
      <c r="D83" s="41" t="s">
        <v>122</v>
      </c>
      <c r="E83" s="70">
        <f aca="true" t="shared" si="56" ref="E83:K83">SUM(E84:E87)</f>
        <v>1083667</v>
      </c>
      <c r="F83" s="70">
        <f t="shared" si="56"/>
        <v>0</v>
      </c>
      <c r="G83" s="70">
        <f t="shared" si="56"/>
        <v>1083667</v>
      </c>
      <c r="H83" s="70">
        <f t="shared" si="56"/>
        <v>64590</v>
      </c>
      <c r="I83" s="70">
        <f t="shared" si="56"/>
        <v>1148257</v>
      </c>
      <c r="J83" s="70">
        <f t="shared" si="56"/>
        <v>0</v>
      </c>
      <c r="K83" s="70">
        <f t="shared" si="56"/>
        <v>1148257</v>
      </c>
      <c r="L83" s="70">
        <f aca="true" t="shared" si="57" ref="L83:Q83">SUM(L84:L87)</f>
        <v>0</v>
      </c>
      <c r="M83" s="70">
        <f t="shared" si="57"/>
        <v>1148257</v>
      </c>
      <c r="N83" s="70">
        <f t="shared" si="57"/>
        <v>905</v>
      </c>
      <c r="O83" s="70">
        <f t="shared" si="57"/>
        <v>1149162</v>
      </c>
      <c r="P83" s="70">
        <f t="shared" si="57"/>
        <v>0</v>
      </c>
      <c r="Q83" s="70">
        <f t="shared" si="57"/>
        <v>1149162</v>
      </c>
    </row>
    <row r="84" spans="1:17" s="26" customFormat="1" ht="56.25">
      <c r="A84" s="71"/>
      <c r="B84" s="72"/>
      <c r="C84" s="73" t="s">
        <v>159</v>
      </c>
      <c r="D84" s="75" t="s">
        <v>55</v>
      </c>
      <c r="E84" s="70">
        <v>2733</v>
      </c>
      <c r="F84" s="70"/>
      <c r="G84" s="70">
        <f>SUM(E84:F84)</f>
        <v>2733</v>
      </c>
      <c r="H84" s="70"/>
      <c r="I84" s="70">
        <f>SUM(G84:H84)</f>
        <v>2733</v>
      </c>
      <c r="J84" s="70"/>
      <c r="K84" s="70">
        <f>SUM(I84:J84)</f>
        <v>2733</v>
      </c>
      <c r="L84" s="70"/>
      <c r="M84" s="70">
        <f>SUM(K84:L84)</f>
        <v>2733</v>
      </c>
      <c r="N84" s="70"/>
      <c r="O84" s="70">
        <f>SUM(M84:N84)</f>
        <v>2733</v>
      </c>
      <c r="P84" s="70"/>
      <c r="Q84" s="70">
        <f>SUM(O84:P84)</f>
        <v>2733</v>
      </c>
    </row>
    <row r="85" spans="1:17" s="26" customFormat="1" ht="19.5" customHeight="1">
      <c r="A85" s="71"/>
      <c r="B85" s="72"/>
      <c r="C85" s="73" t="s">
        <v>194</v>
      </c>
      <c r="D85" s="65" t="s">
        <v>195</v>
      </c>
      <c r="E85" s="70">
        <v>1080000</v>
      </c>
      <c r="F85" s="70"/>
      <c r="G85" s="70">
        <f>SUM(E85:F85)</f>
        <v>1080000</v>
      </c>
      <c r="H85" s="70">
        <v>34000</v>
      </c>
      <c r="I85" s="70">
        <f>SUM(G85:H85)</f>
        <v>1114000</v>
      </c>
      <c r="J85" s="70"/>
      <c r="K85" s="70">
        <f>SUM(I85:J85)</f>
        <v>1114000</v>
      </c>
      <c r="L85" s="70"/>
      <c r="M85" s="70">
        <f>SUM(K85:L85)</f>
        <v>1114000</v>
      </c>
      <c r="N85" s="70"/>
      <c r="O85" s="70">
        <f>SUM(M85:N85)</f>
        <v>1114000</v>
      </c>
      <c r="P85" s="70"/>
      <c r="Q85" s="70">
        <f>SUM(O85:P85)</f>
        <v>1114000</v>
      </c>
    </row>
    <row r="86" spans="1:17" s="26" customFormat="1" ht="19.5" customHeight="1">
      <c r="A86" s="71"/>
      <c r="B86" s="72"/>
      <c r="C86" s="73" t="s">
        <v>160</v>
      </c>
      <c r="D86" s="65" t="s">
        <v>11</v>
      </c>
      <c r="E86" s="70">
        <v>24</v>
      </c>
      <c r="F86" s="70"/>
      <c r="G86" s="70">
        <f>SUM(E86:F86)</f>
        <v>24</v>
      </c>
      <c r="H86" s="70"/>
      <c r="I86" s="70">
        <f>SUM(G86:H86)</f>
        <v>24</v>
      </c>
      <c r="J86" s="70"/>
      <c r="K86" s="70">
        <f>SUM(I86:J86)</f>
        <v>24</v>
      </c>
      <c r="L86" s="70"/>
      <c r="M86" s="70">
        <f>SUM(K86:L86)</f>
        <v>24</v>
      </c>
      <c r="N86" s="70"/>
      <c r="O86" s="70">
        <f>SUM(M86:N86)</f>
        <v>24</v>
      </c>
      <c r="P86" s="70"/>
      <c r="Q86" s="70">
        <f>SUM(O86:P86)</f>
        <v>24</v>
      </c>
    </row>
    <row r="87" spans="1:17" s="26" customFormat="1" ht="19.5" customHeight="1">
      <c r="A87" s="71"/>
      <c r="B87" s="72"/>
      <c r="C87" s="73" t="s">
        <v>161</v>
      </c>
      <c r="D87" s="41" t="s">
        <v>12</v>
      </c>
      <c r="E87" s="70">
        <v>910</v>
      </c>
      <c r="F87" s="70"/>
      <c r="G87" s="70">
        <f>SUM(E87:F87)</f>
        <v>910</v>
      </c>
      <c r="H87" s="70">
        <v>30590</v>
      </c>
      <c r="I87" s="70">
        <f>SUM(G87:H87)</f>
        <v>31500</v>
      </c>
      <c r="J87" s="70"/>
      <c r="K87" s="70">
        <f>SUM(I87:J87)</f>
        <v>31500</v>
      </c>
      <c r="L87" s="70"/>
      <c r="M87" s="70">
        <f>SUM(K87:L87)</f>
        <v>31500</v>
      </c>
      <c r="N87" s="70">
        <f>2105-1200</f>
        <v>905</v>
      </c>
      <c r="O87" s="70">
        <f>SUM(M87:N87)</f>
        <v>32405</v>
      </c>
      <c r="P87" s="70"/>
      <c r="Q87" s="70">
        <f>SUM(O87:P87)</f>
        <v>32405</v>
      </c>
    </row>
    <row r="88" spans="1:17" s="26" customFormat="1" ht="19.5" customHeight="1">
      <c r="A88" s="71"/>
      <c r="B88" s="72">
        <v>80110</v>
      </c>
      <c r="C88" s="73"/>
      <c r="D88" s="41" t="s">
        <v>52</v>
      </c>
      <c r="E88" s="70">
        <f aca="true" t="shared" si="58" ref="E88:K88">SUM(E89:E92)</f>
        <v>12000</v>
      </c>
      <c r="F88" s="70">
        <f t="shared" si="58"/>
        <v>0</v>
      </c>
      <c r="G88" s="70">
        <f t="shared" si="58"/>
        <v>12000</v>
      </c>
      <c r="H88" s="70">
        <f t="shared" si="58"/>
        <v>0</v>
      </c>
      <c r="I88" s="70">
        <f t="shared" si="58"/>
        <v>12000</v>
      </c>
      <c r="J88" s="70">
        <f t="shared" si="58"/>
        <v>0</v>
      </c>
      <c r="K88" s="70">
        <f t="shared" si="58"/>
        <v>12000</v>
      </c>
      <c r="L88" s="70">
        <f aca="true" t="shared" si="59" ref="L88:Q88">SUM(L89:L92)</f>
        <v>0</v>
      </c>
      <c r="M88" s="70">
        <f t="shared" si="59"/>
        <v>12000</v>
      </c>
      <c r="N88" s="70">
        <f t="shared" si="59"/>
        <v>0</v>
      </c>
      <c r="O88" s="70">
        <f t="shared" si="59"/>
        <v>12000</v>
      </c>
      <c r="P88" s="70">
        <f t="shared" si="59"/>
        <v>0</v>
      </c>
      <c r="Q88" s="70">
        <f t="shared" si="59"/>
        <v>12000</v>
      </c>
    </row>
    <row r="89" spans="1:17" s="26" customFormat="1" ht="24" customHeight="1">
      <c r="A89" s="71"/>
      <c r="B89" s="72"/>
      <c r="C89" s="81" t="s">
        <v>181</v>
      </c>
      <c r="D89" s="41" t="s">
        <v>141</v>
      </c>
      <c r="E89" s="70">
        <v>200</v>
      </c>
      <c r="F89" s="70"/>
      <c r="G89" s="70">
        <f>SUM(E89:F89)</f>
        <v>200</v>
      </c>
      <c r="H89" s="70"/>
      <c r="I89" s="70">
        <f>SUM(G89:H89)</f>
        <v>200</v>
      </c>
      <c r="J89" s="70"/>
      <c r="K89" s="70">
        <f>SUM(I89:J89)</f>
        <v>200</v>
      </c>
      <c r="L89" s="70"/>
      <c r="M89" s="70">
        <f>SUM(K89:L89)</f>
        <v>200</v>
      </c>
      <c r="N89" s="70"/>
      <c r="O89" s="70">
        <f>SUM(M89:N89)</f>
        <v>200</v>
      </c>
      <c r="P89" s="70"/>
      <c r="Q89" s="70">
        <f>SUM(O89:P89)</f>
        <v>200</v>
      </c>
    </row>
    <row r="90" spans="1:17" s="26" customFormat="1" ht="56.25">
      <c r="A90" s="71"/>
      <c r="B90" s="72"/>
      <c r="C90" s="73" t="s">
        <v>159</v>
      </c>
      <c r="D90" s="75" t="s">
        <v>55</v>
      </c>
      <c r="E90" s="70">
        <f>6500+4527</f>
        <v>11027</v>
      </c>
      <c r="F90" s="70"/>
      <c r="G90" s="70">
        <f>SUM(E90:F90)</f>
        <v>11027</v>
      </c>
      <c r="H90" s="70"/>
      <c r="I90" s="70">
        <f>SUM(G90:H90)</f>
        <v>11027</v>
      </c>
      <c r="J90" s="70"/>
      <c r="K90" s="70">
        <f>SUM(I90:J90)</f>
        <v>11027</v>
      </c>
      <c r="L90" s="70"/>
      <c r="M90" s="70">
        <f>SUM(K90:L90)</f>
        <v>11027</v>
      </c>
      <c r="N90" s="70"/>
      <c r="O90" s="70">
        <f>SUM(M90:N90)</f>
        <v>11027</v>
      </c>
      <c r="P90" s="70"/>
      <c r="Q90" s="70">
        <f>SUM(O90:P90)</f>
        <v>11027</v>
      </c>
    </row>
    <row r="91" spans="1:17" s="26" customFormat="1" ht="22.5" customHeight="1">
      <c r="A91" s="71"/>
      <c r="B91" s="72"/>
      <c r="C91" s="73" t="s">
        <v>160</v>
      </c>
      <c r="D91" s="65" t="s">
        <v>11</v>
      </c>
      <c r="E91" s="70">
        <v>23</v>
      </c>
      <c r="F91" s="70"/>
      <c r="G91" s="70">
        <f>SUM(E91:F91)</f>
        <v>23</v>
      </c>
      <c r="H91" s="70"/>
      <c r="I91" s="70">
        <f>SUM(G91:H91)</f>
        <v>23</v>
      </c>
      <c r="J91" s="70"/>
      <c r="K91" s="70">
        <f>SUM(I91:J91)</f>
        <v>23</v>
      </c>
      <c r="L91" s="70"/>
      <c r="M91" s="70">
        <f>SUM(K91:L91)</f>
        <v>23</v>
      </c>
      <c r="N91" s="70"/>
      <c r="O91" s="70">
        <f>SUM(M91:N91)</f>
        <v>23</v>
      </c>
      <c r="P91" s="70"/>
      <c r="Q91" s="70">
        <f>SUM(O91:P91)</f>
        <v>23</v>
      </c>
    </row>
    <row r="92" spans="1:17" s="26" customFormat="1" ht="22.5" customHeight="1">
      <c r="A92" s="71"/>
      <c r="B92" s="72"/>
      <c r="C92" s="73" t="s">
        <v>161</v>
      </c>
      <c r="D92" s="41" t="s">
        <v>12</v>
      </c>
      <c r="E92" s="70">
        <v>750</v>
      </c>
      <c r="F92" s="70"/>
      <c r="G92" s="70">
        <f>SUM(E92:F92)</f>
        <v>750</v>
      </c>
      <c r="H92" s="70"/>
      <c r="I92" s="70">
        <f>SUM(G92:H92)</f>
        <v>750</v>
      </c>
      <c r="J92" s="70"/>
      <c r="K92" s="70">
        <f>SUM(I92:J92)</f>
        <v>750</v>
      </c>
      <c r="L92" s="70"/>
      <c r="M92" s="70">
        <f>SUM(K92:L92)</f>
        <v>750</v>
      </c>
      <c r="N92" s="70"/>
      <c r="O92" s="70">
        <f>SUM(M92:N92)</f>
        <v>750</v>
      </c>
      <c r="P92" s="70"/>
      <c r="Q92" s="70">
        <f>SUM(O92:P92)</f>
        <v>750</v>
      </c>
    </row>
    <row r="93" spans="1:17" s="26" customFormat="1" ht="22.5" customHeight="1">
      <c r="A93" s="71"/>
      <c r="B93" s="72">
        <v>80148</v>
      </c>
      <c r="C93" s="73"/>
      <c r="D93" s="65" t="s">
        <v>279</v>
      </c>
      <c r="E93" s="70">
        <f aca="true" t="shared" si="60" ref="E93:Q93">SUM(E94:E94)</f>
        <v>114280</v>
      </c>
      <c r="F93" s="70">
        <f t="shared" si="60"/>
        <v>0</v>
      </c>
      <c r="G93" s="70">
        <f t="shared" si="60"/>
        <v>114280</v>
      </c>
      <c r="H93" s="70">
        <f t="shared" si="60"/>
        <v>0</v>
      </c>
      <c r="I93" s="70">
        <f t="shared" si="60"/>
        <v>114280</v>
      </c>
      <c r="J93" s="70">
        <f t="shared" si="60"/>
        <v>0</v>
      </c>
      <c r="K93" s="70">
        <f t="shared" si="60"/>
        <v>114280</v>
      </c>
      <c r="L93" s="70">
        <f t="shared" si="60"/>
        <v>0</v>
      </c>
      <c r="M93" s="70">
        <f t="shared" si="60"/>
        <v>114280</v>
      </c>
      <c r="N93" s="70">
        <f t="shared" si="60"/>
        <v>0</v>
      </c>
      <c r="O93" s="70">
        <f t="shared" si="60"/>
        <v>114280</v>
      </c>
      <c r="P93" s="70">
        <f t="shared" si="60"/>
        <v>0</v>
      </c>
      <c r="Q93" s="70">
        <f t="shared" si="60"/>
        <v>114280</v>
      </c>
    </row>
    <row r="94" spans="1:17" s="26" customFormat="1" ht="22.5" customHeight="1">
      <c r="A94" s="71"/>
      <c r="B94" s="72"/>
      <c r="C94" s="73" t="s">
        <v>194</v>
      </c>
      <c r="D94" s="65" t="s">
        <v>195</v>
      </c>
      <c r="E94" s="70">
        <v>114280</v>
      </c>
      <c r="F94" s="70"/>
      <c r="G94" s="70">
        <f>SUM(E94:F94)</f>
        <v>114280</v>
      </c>
      <c r="H94" s="70"/>
      <c r="I94" s="70">
        <f>SUM(G94:H94)</f>
        <v>114280</v>
      </c>
      <c r="J94" s="70"/>
      <c r="K94" s="70">
        <f>SUM(I94:J94)</f>
        <v>114280</v>
      </c>
      <c r="L94" s="70"/>
      <c r="M94" s="70">
        <f>SUM(K94:L94)</f>
        <v>114280</v>
      </c>
      <c r="N94" s="70"/>
      <c r="O94" s="70">
        <f>SUM(M94:N94)</f>
        <v>114280</v>
      </c>
      <c r="P94" s="70"/>
      <c r="Q94" s="70">
        <f>SUM(O94:P94)</f>
        <v>114280</v>
      </c>
    </row>
    <row r="95" spans="1:17" s="8" customFormat="1" ht="24.75" customHeight="1">
      <c r="A95" s="31" t="s">
        <v>152</v>
      </c>
      <c r="B95" s="4"/>
      <c r="C95" s="5"/>
      <c r="D95" s="32" t="s">
        <v>185</v>
      </c>
      <c r="E95" s="57">
        <f aca="true" t="shared" si="61" ref="E95:K95">SUM(E96,E99,E102,E107,E113,E105)</f>
        <v>9193467</v>
      </c>
      <c r="F95" s="57">
        <f t="shared" si="61"/>
        <v>593300</v>
      </c>
      <c r="G95" s="57">
        <f t="shared" si="61"/>
        <v>9786767</v>
      </c>
      <c r="H95" s="57">
        <f t="shared" si="61"/>
        <v>3280</v>
      </c>
      <c r="I95" s="57">
        <f t="shared" si="61"/>
        <v>9790047</v>
      </c>
      <c r="J95" s="57">
        <f t="shared" si="61"/>
        <v>0</v>
      </c>
      <c r="K95" s="57">
        <f t="shared" si="61"/>
        <v>9790047</v>
      </c>
      <c r="L95" s="57">
        <f aca="true" t="shared" si="62" ref="L95:Q95">SUM(L96,L99,L102,L107,L113,L105)</f>
        <v>105062</v>
      </c>
      <c r="M95" s="57">
        <f t="shared" si="62"/>
        <v>9895109</v>
      </c>
      <c r="N95" s="57">
        <f t="shared" si="62"/>
        <v>6000</v>
      </c>
      <c r="O95" s="57">
        <f t="shared" si="62"/>
        <v>9901109</v>
      </c>
      <c r="P95" s="57">
        <f t="shared" si="62"/>
        <v>417780</v>
      </c>
      <c r="Q95" s="57">
        <f t="shared" si="62"/>
        <v>10318889</v>
      </c>
    </row>
    <row r="96" spans="1:17" s="26" customFormat="1" ht="45">
      <c r="A96" s="71"/>
      <c r="B96" s="50">
        <v>85212</v>
      </c>
      <c r="C96" s="77"/>
      <c r="D96" s="75" t="s">
        <v>261</v>
      </c>
      <c r="E96" s="70">
        <f aca="true" t="shared" si="63" ref="E96:K96">SUM(E97:E98)</f>
        <v>7006793</v>
      </c>
      <c r="F96" s="70">
        <f t="shared" si="63"/>
        <v>0</v>
      </c>
      <c r="G96" s="70">
        <f t="shared" si="63"/>
        <v>7006793</v>
      </c>
      <c r="H96" s="70">
        <f t="shared" si="63"/>
        <v>0</v>
      </c>
      <c r="I96" s="70">
        <f t="shared" si="63"/>
        <v>7006793</v>
      </c>
      <c r="J96" s="70">
        <f t="shared" si="63"/>
        <v>0</v>
      </c>
      <c r="K96" s="70">
        <f t="shared" si="63"/>
        <v>7006793</v>
      </c>
      <c r="L96" s="70">
        <f aca="true" t="shared" si="64" ref="L96:Q96">SUM(L97:L98)</f>
        <v>0</v>
      </c>
      <c r="M96" s="70">
        <f t="shared" si="64"/>
        <v>7006793</v>
      </c>
      <c r="N96" s="70">
        <f t="shared" si="64"/>
        <v>0</v>
      </c>
      <c r="O96" s="70">
        <f t="shared" si="64"/>
        <v>7006793</v>
      </c>
      <c r="P96" s="70">
        <f t="shared" si="64"/>
        <v>0</v>
      </c>
      <c r="Q96" s="70">
        <f t="shared" si="64"/>
        <v>7006793</v>
      </c>
    </row>
    <row r="97" spans="1:17" s="26" customFormat="1" ht="45">
      <c r="A97" s="71"/>
      <c r="B97" s="50"/>
      <c r="C97" s="77">
        <v>2010</v>
      </c>
      <c r="D97" s="41" t="s">
        <v>208</v>
      </c>
      <c r="E97" s="70">
        <v>6927793</v>
      </c>
      <c r="F97" s="70"/>
      <c r="G97" s="70">
        <f>SUM(E97:F97)</f>
        <v>6927793</v>
      </c>
      <c r="H97" s="70"/>
      <c r="I97" s="70">
        <f>SUM(G97:H97)</f>
        <v>6927793</v>
      </c>
      <c r="J97" s="70"/>
      <c r="K97" s="70">
        <f>SUM(I97:J97)</f>
        <v>6927793</v>
      </c>
      <c r="L97" s="70"/>
      <c r="M97" s="70">
        <f>SUM(K97:L97)</f>
        <v>6927793</v>
      </c>
      <c r="N97" s="70"/>
      <c r="O97" s="70">
        <f>SUM(M97:N97)</f>
        <v>6927793</v>
      </c>
      <c r="P97" s="70"/>
      <c r="Q97" s="70">
        <f>SUM(O97:P97)</f>
        <v>6927793</v>
      </c>
    </row>
    <row r="98" spans="1:17" s="163" customFormat="1" ht="45">
      <c r="A98" s="71"/>
      <c r="B98" s="50"/>
      <c r="C98" s="77">
        <v>2360</v>
      </c>
      <c r="D98" s="65" t="s">
        <v>280</v>
      </c>
      <c r="E98" s="70">
        <v>79000</v>
      </c>
      <c r="F98" s="70"/>
      <c r="G98" s="70">
        <f>SUM(E98:F98)</f>
        <v>79000</v>
      </c>
      <c r="H98" s="70"/>
      <c r="I98" s="70">
        <f>SUM(G98:H98)</f>
        <v>79000</v>
      </c>
      <c r="J98" s="70"/>
      <c r="K98" s="70">
        <f>SUM(I98:J98)</f>
        <v>79000</v>
      </c>
      <c r="L98" s="70"/>
      <c r="M98" s="70">
        <f>SUM(K98:L98)</f>
        <v>79000</v>
      </c>
      <c r="N98" s="70"/>
      <c r="O98" s="70">
        <f>SUM(M98:N98)</f>
        <v>79000</v>
      </c>
      <c r="P98" s="70"/>
      <c r="Q98" s="70">
        <f>SUM(O98:P98)</f>
        <v>79000</v>
      </c>
    </row>
    <row r="99" spans="1:17" s="26" customFormat="1" ht="56.25">
      <c r="A99" s="71"/>
      <c r="B99" s="50">
        <v>85213</v>
      </c>
      <c r="C99" s="78"/>
      <c r="D99" s="75" t="s">
        <v>260</v>
      </c>
      <c r="E99" s="70">
        <f aca="true" t="shared" si="65" ref="E99:K99">SUM(E100:E101)</f>
        <v>51007</v>
      </c>
      <c r="F99" s="70">
        <f t="shared" si="65"/>
        <v>0</v>
      </c>
      <c r="G99" s="70">
        <f t="shared" si="65"/>
        <v>51007</v>
      </c>
      <c r="H99" s="70">
        <f t="shared" si="65"/>
        <v>0</v>
      </c>
      <c r="I99" s="70">
        <f t="shared" si="65"/>
        <v>51007</v>
      </c>
      <c r="J99" s="70">
        <f t="shared" si="65"/>
        <v>0</v>
      </c>
      <c r="K99" s="70">
        <f t="shared" si="65"/>
        <v>51007</v>
      </c>
      <c r="L99" s="70">
        <f aca="true" t="shared" si="66" ref="L99:Q99">SUM(L100:L101)</f>
        <v>9932</v>
      </c>
      <c r="M99" s="70">
        <f t="shared" si="66"/>
        <v>60939</v>
      </c>
      <c r="N99" s="70">
        <f t="shared" si="66"/>
        <v>0</v>
      </c>
      <c r="O99" s="70">
        <f t="shared" si="66"/>
        <v>60939</v>
      </c>
      <c r="P99" s="70">
        <f t="shared" si="66"/>
        <v>0</v>
      </c>
      <c r="Q99" s="70">
        <f t="shared" si="66"/>
        <v>60939</v>
      </c>
    </row>
    <row r="100" spans="1:17" s="26" customFormat="1" ht="45">
      <c r="A100" s="71"/>
      <c r="B100" s="50"/>
      <c r="C100" s="78">
        <v>2010</v>
      </c>
      <c r="D100" s="41" t="s">
        <v>208</v>
      </c>
      <c r="E100" s="70">
        <v>16068</v>
      </c>
      <c r="F100" s="70"/>
      <c r="G100" s="70">
        <f>SUM(E100:F100)</f>
        <v>16068</v>
      </c>
      <c r="H100" s="70"/>
      <c r="I100" s="70">
        <f>SUM(G100:H100)</f>
        <v>16068</v>
      </c>
      <c r="J100" s="70"/>
      <c r="K100" s="70">
        <f>SUM(I100:J100)</f>
        <v>16068</v>
      </c>
      <c r="L100" s="70">
        <v>9932</v>
      </c>
      <c r="M100" s="70">
        <f>SUM(K100:L100)</f>
        <v>26000</v>
      </c>
      <c r="N100" s="70"/>
      <c r="O100" s="70">
        <f>SUM(M100:N100)</f>
        <v>26000</v>
      </c>
      <c r="P100" s="70"/>
      <c r="Q100" s="70">
        <f>SUM(O100:P100)</f>
        <v>26000</v>
      </c>
    </row>
    <row r="101" spans="1:17" s="26" customFormat="1" ht="33.75">
      <c r="A101" s="71"/>
      <c r="B101" s="50"/>
      <c r="C101" s="73">
        <v>2030</v>
      </c>
      <c r="D101" s="75" t="s">
        <v>209</v>
      </c>
      <c r="E101" s="70">
        <v>34939</v>
      </c>
      <c r="F101" s="70"/>
      <c r="G101" s="70">
        <f>SUM(E101:F101)</f>
        <v>34939</v>
      </c>
      <c r="H101" s="70"/>
      <c r="I101" s="70">
        <f>SUM(G101:H101)</f>
        <v>34939</v>
      </c>
      <c r="J101" s="70"/>
      <c r="K101" s="70">
        <f>SUM(I101:J101)</f>
        <v>34939</v>
      </c>
      <c r="L101" s="70"/>
      <c r="M101" s="70">
        <f>SUM(K101:L101)</f>
        <v>34939</v>
      </c>
      <c r="N101" s="70"/>
      <c r="O101" s="70">
        <f>SUM(M101:N101)</f>
        <v>34939</v>
      </c>
      <c r="P101" s="70"/>
      <c r="Q101" s="70">
        <f>SUM(O101:P101)</f>
        <v>34939</v>
      </c>
    </row>
    <row r="102" spans="1:17" s="26" customFormat="1" ht="23.25" customHeight="1">
      <c r="A102" s="71"/>
      <c r="B102" s="72" t="s">
        <v>153</v>
      </c>
      <c r="C102" s="78"/>
      <c r="D102" s="41" t="s">
        <v>215</v>
      </c>
      <c r="E102" s="70">
        <f aca="true" t="shared" si="67" ref="E102:K102">SUM(E103:E104)</f>
        <v>778470</v>
      </c>
      <c r="F102" s="70">
        <f t="shared" si="67"/>
        <v>0</v>
      </c>
      <c r="G102" s="70">
        <f t="shared" si="67"/>
        <v>778470</v>
      </c>
      <c r="H102" s="70">
        <f t="shared" si="67"/>
        <v>0</v>
      </c>
      <c r="I102" s="70">
        <f t="shared" si="67"/>
        <v>778470</v>
      </c>
      <c r="J102" s="70">
        <f t="shared" si="67"/>
        <v>0</v>
      </c>
      <c r="K102" s="70">
        <f t="shared" si="67"/>
        <v>778470</v>
      </c>
      <c r="L102" s="70">
        <f aca="true" t="shared" si="68" ref="L102:Q102">SUM(L103:L104)</f>
        <v>0</v>
      </c>
      <c r="M102" s="70">
        <f t="shared" si="68"/>
        <v>778470</v>
      </c>
      <c r="N102" s="70">
        <f t="shared" si="68"/>
        <v>0</v>
      </c>
      <c r="O102" s="70">
        <f t="shared" si="68"/>
        <v>778470</v>
      </c>
      <c r="P102" s="70">
        <f t="shared" si="68"/>
        <v>0</v>
      </c>
      <c r="Q102" s="70">
        <f t="shared" si="68"/>
        <v>778470</v>
      </c>
    </row>
    <row r="103" spans="1:17" s="26" customFormat="1" ht="20.25" customHeight="1">
      <c r="A103" s="71"/>
      <c r="B103" s="72"/>
      <c r="C103" s="77" t="s">
        <v>194</v>
      </c>
      <c r="D103" s="75" t="s">
        <v>195</v>
      </c>
      <c r="E103" s="70">
        <v>20000</v>
      </c>
      <c r="F103" s="70"/>
      <c r="G103" s="70">
        <f>SUM(E103:F103)</f>
        <v>20000</v>
      </c>
      <c r="H103" s="70"/>
      <c r="I103" s="70">
        <f>SUM(G103:H103)</f>
        <v>20000</v>
      </c>
      <c r="J103" s="70"/>
      <c r="K103" s="70">
        <f>SUM(I103:J103)</f>
        <v>20000</v>
      </c>
      <c r="L103" s="70"/>
      <c r="M103" s="70">
        <f>SUM(K103:L103)</f>
        <v>20000</v>
      </c>
      <c r="N103" s="70"/>
      <c r="O103" s="70">
        <f>SUM(M103:N103)</f>
        <v>20000</v>
      </c>
      <c r="P103" s="70"/>
      <c r="Q103" s="70">
        <f>SUM(O103:P103)</f>
        <v>20000</v>
      </c>
    </row>
    <row r="104" spans="1:17" s="26" customFormat="1" ht="33.75">
      <c r="A104" s="71"/>
      <c r="B104" s="72"/>
      <c r="C104" s="73">
        <v>2030</v>
      </c>
      <c r="D104" s="75" t="s">
        <v>209</v>
      </c>
      <c r="E104" s="70">
        <v>758470</v>
      </c>
      <c r="F104" s="70"/>
      <c r="G104" s="70">
        <f>SUM(E104:F104)</f>
        <v>758470</v>
      </c>
      <c r="H104" s="70"/>
      <c r="I104" s="70">
        <f>SUM(G104:H104)</f>
        <v>758470</v>
      </c>
      <c r="J104" s="70"/>
      <c r="K104" s="70">
        <f>SUM(I104:J104)</f>
        <v>758470</v>
      </c>
      <c r="L104" s="70"/>
      <c r="M104" s="70">
        <f>SUM(K104:L104)</f>
        <v>758470</v>
      </c>
      <c r="N104" s="70"/>
      <c r="O104" s="70">
        <f>SUM(M104:N104)</f>
        <v>758470</v>
      </c>
      <c r="P104" s="70"/>
      <c r="Q104" s="70">
        <f>SUM(O104:P104)</f>
        <v>758470</v>
      </c>
    </row>
    <row r="105" spans="1:17" s="26" customFormat="1" ht="21.75" customHeight="1">
      <c r="A105" s="71"/>
      <c r="B105" s="72">
        <v>85216</v>
      </c>
      <c r="C105" s="73"/>
      <c r="D105" s="75" t="s">
        <v>265</v>
      </c>
      <c r="E105" s="70">
        <f aca="true" t="shared" si="69" ref="E105:Q105">SUM(E106)</f>
        <v>384000</v>
      </c>
      <c r="F105" s="70">
        <f t="shared" si="69"/>
        <v>0</v>
      </c>
      <c r="G105" s="70">
        <f t="shared" si="69"/>
        <v>384000</v>
      </c>
      <c r="H105" s="70">
        <f t="shared" si="69"/>
        <v>0</v>
      </c>
      <c r="I105" s="70">
        <f t="shared" si="69"/>
        <v>384000</v>
      </c>
      <c r="J105" s="70">
        <f t="shared" si="69"/>
        <v>0</v>
      </c>
      <c r="K105" s="70">
        <f t="shared" si="69"/>
        <v>384000</v>
      </c>
      <c r="L105" s="70">
        <f t="shared" si="69"/>
        <v>0</v>
      </c>
      <c r="M105" s="70">
        <f t="shared" si="69"/>
        <v>384000</v>
      </c>
      <c r="N105" s="70">
        <f t="shared" si="69"/>
        <v>0</v>
      </c>
      <c r="O105" s="70">
        <f t="shared" si="69"/>
        <v>384000</v>
      </c>
      <c r="P105" s="70">
        <f t="shared" si="69"/>
        <v>0</v>
      </c>
      <c r="Q105" s="70">
        <f t="shared" si="69"/>
        <v>384000</v>
      </c>
    </row>
    <row r="106" spans="1:17" s="26" customFormat="1" ht="33.75">
      <c r="A106" s="71"/>
      <c r="B106" s="72"/>
      <c r="C106" s="73">
        <v>2030</v>
      </c>
      <c r="D106" s="75" t="s">
        <v>209</v>
      </c>
      <c r="E106" s="70">
        <v>384000</v>
      </c>
      <c r="F106" s="70"/>
      <c r="G106" s="70">
        <f>SUM(E106:F106)</f>
        <v>384000</v>
      </c>
      <c r="H106" s="70"/>
      <c r="I106" s="70">
        <f>SUM(G106:H106)</f>
        <v>384000</v>
      </c>
      <c r="J106" s="70"/>
      <c r="K106" s="70">
        <f>SUM(I106:J106)</f>
        <v>384000</v>
      </c>
      <c r="L106" s="70"/>
      <c r="M106" s="70">
        <f>SUM(K106:L106)</f>
        <v>384000</v>
      </c>
      <c r="N106" s="70"/>
      <c r="O106" s="70">
        <f>SUM(M106:N106)</f>
        <v>384000</v>
      </c>
      <c r="P106" s="70"/>
      <c r="Q106" s="70">
        <f>SUM(O106:P106)</f>
        <v>384000</v>
      </c>
    </row>
    <row r="107" spans="1:17" s="26" customFormat="1" ht="24" customHeight="1">
      <c r="A107" s="71"/>
      <c r="B107" s="72" t="s">
        <v>154</v>
      </c>
      <c r="C107" s="78"/>
      <c r="D107" s="75" t="s">
        <v>274</v>
      </c>
      <c r="E107" s="70">
        <f aca="true" t="shared" si="70" ref="E107:K107">SUM(E108:E112)</f>
        <v>533997</v>
      </c>
      <c r="F107" s="70">
        <f t="shared" si="70"/>
        <v>0</v>
      </c>
      <c r="G107" s="70">
        <f t="shared" si="70"/>
        <v>533997</v>
      </c>
      <c r="H107" s="70">
        <f t="shared" si="70"/>
        <v>3280</v>
      </c>
      <c r="I107" s="70">
        <f t="shared" si="70"/>
        <v>537277</v>
      </c>
      <c r="J107" s="70">
        <f t="shared" si="70"/>
        <v>0</v>
      </c>
      <c r="K107" s="70">
        <f t="shared" si="70"/>
        <v>537277</v>
      </c>
      <c r="L107" s="70">
        <f aca="true" t="shared" si="71" ref="L107:Q107">SUM(L108:L112)</f>
        <v>0</v>
      </c>
      <c r="M107" s="70">
        <f t="shared" si="71"/>
        <v>537277</v>
      </c>
      <c r="N107" s="70">
        <f t="shared" si="71"/>
        <v>6000</v>
      </c>
      <c r="O107" s="70">
        <f t="shared" si="71"/>
        <v>543277</v>
      </c>
      <c r="P107" s="70">
        <f t="shared" si="71"/>
        <v>3000</v>
      </c>
      <c r="Q107" s="70">
        <f t="shared" si="71"/>
        <v>546277</v>
      </c>
    </row>
    <row r="108" spans="1:17" s="26" customFormat="1" ht="56.25">
      <c r="A108" s="71"/>
      <c r="B108" s="72"/>
      <c r="C108" s="77" t="s">
        <v>159</v>
      </c>
      <c r="D108" s="75" t="s">
        <v>55</v>
      </c>
      <c r="E108" s="70">
        <v>2900</v>
      </c>
      <c r="F108" s="70"/>
      <c r="G108" s="70">
        <f>SUM(E108:F108)</f>
        <v>2900</v>
      </c>
      <c r="H108" s="70"/>
      <c r="I108" s="70">
        <f>SUM(G108:H108)</f>
        <v>2900</v>
      </c>
      <c r="J108" s="70"/>
      <c r="K108" s="70">
        <f>SUM(I108:J108)</f>
        <v>2900</v>
      </c>
      <c r="L108" s="70"/>
      <c r="M108" s="70">
        <f>SUM(K108:L108)</f>
        <v>2900</v>
      </c>
      <c r="N108" s="70"/>
      <c r="O108" s="70">
        <f>SUM(M108:N108)</f>
        <v>2900</v>
      </c>
      <c r="P108" s="70"/>
      <c r="Q108" s="70">
        <f>SUM(O108:P108)</f>
        <v>2900</v>
      </c>
    </row>
    <row r="109" spans="1:17" s="26" customFormat="1" ht="21.75" customHeight="1">
      <c r="A109" s="71"/>
      <c r="B109" s="72"/>
      <c r="C109" s="77" t="s">
        <v>160</v>
      </c>
      <c r="D109" s="75" t="s">
        <v>11</v>
      </c>
      <c r="E109" s="70">
        <v>300</v>
      </c>
      <c r="F109" s="70"/>
      <c r="G109" s="70">
        <f>SUM(E109:F109)</f>
        <v>300</v>
      </c>
      <c r="H109" s="70"/>
      <c r="I109" s="70">
        <f>SUM(G109:H109)</f>
        <v>300</v>
      </c>
      <c r="J109" s="70"/>
      <c r="K109" s="70">
        <f>SUM(I109:J109)</f>
        <v>300</v>
      </c>
      <c r="L109" s="70"/>
      <c r="M109" s="70">
        <f>SUM(K109:L109)</f>
        <v>300</v>
      </c>
      <c r="N109" s="70"/>
      <c r="O109" s="70">
        <f>SUM(M109:N109)</f>
        <v>300</v>
      </c>
      <c r="P109" s="70"/>
      <c r="Q109" s="70">
        <f>SUM(O109:P109)</f>
        <v>300</v>
      </c>
    </row>
    <row r="110" spans="1:17" s="26" customFormat="1" ht="21.75" customHeight="1">
      <c r="A110" s="71"/>
      <c r="B110" s="72"/>
      <c r="C110" s="77" t="s">
        <v>161</v>
      </c>
      <c r="D110" s="41" t="s">
        <v>12</v>
      </c>
      <c r="E110" s="70">
        <v>150</v>
      </c>
      <c r="F110" s="70"/>
      <c r="G110" s="70">
        <f>SUM(E110:F110)</f>
        <v>150</v>
      </c>
      <c r="H110" s="70"/>
      <c r="I110" s="70">
        <f>SUM(G110:H110)</f>
        <v>150</v>
      </c>
      <c r="J110" s="70"/>
      <c r="K110" s="70">
        <f>SUM(I110:J110)</f>
        <v>150</v>
      </c>
      <c r="L110" s="70"/>
      <c r="M110" s="70">
        <f>SUM(K110:L110)</f>
        <v>150</v>
      </c>
      <c r="N110" s="70"/>
      <c r="O110" s="70">
        <f>SUM(M110:N110)</f>
        <v>150</v>
      </c>
      <c r="P110" s="70"/>
      <c r="Q110" s="70">
        <f>SUM(O110:P110)</f>
        <v>150</v>
      </c>
    </row>
    <row r="111" spans="1:17" s="26" customFormat="1" ht="45">
      <c r="A111" s="71"/>
      <c r="B111" s="72"/>
      <c r="C111" s="77">
        <v>2010</v>
      </c>
      <c r="D111" s="41" t="s">
        <v>208</v>
      </c>
      <c r="E111" s="70"/>
      <c r="F111" s="70"/>
      <c r="G111" s="70">
        <v>0</v>
      </c>
      <c r="H111" s="70">
        <v>3280</v>
      </c>
      <c r="I111" s="70">
        <f>SUM(G111:H111)</f>
        <v>3280</v>
      </c>
      <c r="J111" s="70"/>
      <c r="K111" s="70">
        <f>SUM(I111:J111)</f>
        <v>3280</v>
      </c>
      <c r="L111" s="70"/>
      <c r="M111" s="70">
        <f>SUM(K111:L111)</f>
        <v>3280</v>
      </c>
      <c r="N111" s="70">
        <v>6000</v>
      </c>
      <c r="O111" s="70">
        <f>SUM(M111:N111)</f>
        <v>9280</v>
      </c>
      <c r="P111" s="70">
        <v>3000</v>
      </c>
      <c r="Q111" s="70">
        <f>SUM(O111:P111)</f>
        <v>12280</v>
      </c>
    </row>
    <row r="112" spans="1:17" s="26" customFormat="1" ht="33.75">
      <c r="A112" s="71"/>
      <c r="B112" s="72"/>
      <c r="C112" s="73">
        <v>2030</v>
      </c>
      <c r="D112" s="75" t="s">
        <v>209</v>
      </c>
      <c r="E112" s="70">
        <v>530647</v>
      </c>
      <c r="F112" s="70"/>
      <c r="G112" s="70">
        <f>SUM(E112:F112)</f>
        <v>530647</v>
      </c>
      <c r="H112" s="70"/>
      <c r="I112" s="70">
        <f>SUM(G112:H112)</f>
        <v>530647</v>
      </c>
      <c r="J112" s="70"/>
      <c r="K112" s="70">
        <f>SUM(I112:J112)</f>
        <v>530647</v>
      </c>
      <c r="L112" s="70"/>
      <c r="M112" s="70">
        <f>SUM(K112:L112)</f>
        <v>530647</v>
      </c>
      <c r="N112" s="70"/>
      <c r="O112" s="70">
        <f>SUM(M112:N112)</f>
        <v>530647</v>
      </c>
      <c r="P112" s="70"/>
      <c r="Q112" s="70">
        <f>SUM(O112:P112)</f>
        <v>530647</v>
      </c>
    </row>
    <row r="113" spans="1:17" s="26" customFormat="1" ht="24" customHeight="1">
      <c r="A113" s="71"/>
      <c r="B113" s="72">
        <v>85295</v>
      </c>
      <c r="C113" s="73"/>
      <c r="D113" s="75" t="s">
        <v>201</v>
      </c>
      <c r="E113" s="70">
        <f aca="true" t="shared" si="72" ref="E113:K113">SUM(E114:E115)</f>
        <v>439200</v>
      </c>
      <c r="F113" s="70">
        <f t="shared" si="72"/>
        <v>593300</v>
      </c>
      <c r="G113" s="70">
        <f t="shared" si="72"/>
        <v>1032500</v>
      </c>
      <c r="H113" s="70">
        <f t="shared" si="72"/>
        <v>0</v>
      </c>
      <c r="I113" s="70">
        <f t="shared" si="72"/>
        <v>1032500</v>
      </c>
      <c r="J113" s="70">
        <f t="shared" si="72"/>
        <v>0</v>
      </c>
      <c r="K113" s="70">
        <f t="shared" si="72"/>
        <v>1032500</v>
      </c>
      <c r="L113" s="70">
        <f aca="true" t="shared" si="73" ref="L113:Q113">SUM(L114:L115)</f>
        <v>95130</v>
      </c>
      <c r="M113" s="70">
        <f t="shared" si="73"/>
        <v>1127630</v>
      </c>
      <c r="N113" s="70">
        <f t="shared" si="73"/>
        <v>0</v>
      </c>
      <c r="O113" s="70">
        <f t="shared" si="73"/>
        <v>1127630</v>
      </c>
      <c r="P113" s="70">
        <f t="shared" si="73"/>
        <v>414780</v>
      </c>
      <c r="Q113" s="70">
        <f t="shared" si="73"/>
        <v>1542410</v>
      </c>
    </row>
    <row r="114" spans="1:17" s="26" customFormat="1" ht="24" customHeight="1">
      <c r="A114" s="71"/>
      <c r="B114" s="72"/>
      <c r="C114" s="77" t="s">
        <v>194</v>
      </c>
      <c r="D114" s="75" t="s">
        <v>195</v>
      </c>
      <c r="E114" s="70">
        <v>439200</v>
      </c>
      <c r="F114" s="70"/>
      <c r="G114" s="70">
        <f>SUM(E114:F114)</f>
        <v>439200</v>
      </c>
      <c r="H114" s="70"/>
      <c r="I114" s="70">
        <f>SUM(G114:H114)</f>
        <v>439200</v>
      </c>
      <c r="J114" s="70"/>
      <c r="K114" s="70">
        <f>SUM(I114:J114)</f>
        <v>439200</v>
      </c>
      <c r="L114" s="70"/>
      <c r="M114" s="70">
        <f>SUM(K114:L114)</f>
        <v>439200</v>
      </c>
      <c r="N114" s="70"/>
      <c r="O114" s="70">
        <f>SUM(M114:N114)</f>
        <v>439200</v>
      </c>
      <c r="P114" s="70"/>
      <c r="Q114" s="70">
        <f>SUM(O114:P114)</f>
        <v>439200</v>
      </c>
    </row>
    <row r="115" spans="1:17" s="26" customFormat="1" ht="33.75">
      <c r="A115" s="71"/>
      <c r="B115" s="72"/>
      <c r="C115" s="77">
        <v>2030</v>
      </c>
      <c r="D115" s="75" t="s">
        <v>209</v>
      </c>
      <c r="E115" s="70">
        <v>0</v>
      </c>
      <c r="F115" s="70">
        <v>593300</v>
      </c>
      <c r="G115" s="70">
        <f>SUM(E115:F115)</f>
        <v>593300</v>
      </c>
      <c r="H115" s="70"/>
      <c r="I115" s="70">
        <f>SUM(G115:H115)</f>
        <v>593300</v>
      </c>
      <c r="J115" s="70"/>
      <c r="K115" s="70">
        <f>SUM(I115:J115)</f>
        <v>593300</v>
      </c>
      <c r="L115" s="70">
        <v>95130</v>
      </c>
      <c r="M115" s="70">
        <f>SUM(K115:L115)</f>
        <v>688430</v>
      </c>
      <c r="N115" s="70"/>
      <c r="O115" s="70">
        <f>SUM(M115:N115)</f>
        <v>688430</v>
      </c>
      <c r="P115" s="70">
        <v>414780</v>
      </c>
      <c r="Q115" s="70">
        <f>SUM(O115:P115)</f>
        <v>1103210</v>
      </c>
    </row>
    <row r="116" spans="1:17" s="152" customFormat="1" ht="24">
      <c r="A116" s="153">
        <v>853</v>
      </c>
      <c r="B116" s="167"/>
      <c r="C116" s="254"/>
      <c r="D116" s="169" t="s">
        <v>343</v>
      </c>
      <c r="E116" s="247">
        <f aca="true" t="shared" si="74" ref="E116:Q116">SUM(E117)</f>
        <v>0</v>
      </c>
      <c r="F116" s="247">
        <f t="shared" si="74"/>
        <v>385204</v>
      </c>
      <c r="G116" s="247">
        <f t="shared" si="74"/>
        <v>385204</v>
      </c>
      <c r="H116" s="247">
        <f t="shared" si="74"/>
        <v>0</v>
      </c>
      <c r="I116" s="247">
        <f t="shared" si="74"/>
        <v>385204</v>
      </c>
      <c r="J116" s="247">
        <f t="shared" si="74"/>
        <v>0</v>
      </c>
      <c r="K116" s="247">
        <f t="shared" si="74"/>
        <v>385204</v>
      </c>
      <c r="L116" s="247">
        <f t="shared" si="74"/>
        <v>0</v>
      </c>
      <c r="M116" s="247">
        <f t="shared" si="74"/>
        <v>385204</v>
      </c>
      <c r="N116" s="247">
        <f t="shared" si="74"/>
        <v>300147</v>
      </c>
      <c r="O116" s="247">
        <f t="shared" si="74"/>
        <v>685351</v>
      </c>
      <c r="P116" s="247">
        <f t="shared" si="74"/>
        <v>0</v>
      </c>
      <c r="Q116" s="247">
        <f t="shared" si="74"/>
        <v>685351</v>
      </c>
    </row>
    <row r="117" spans="1:17" s="132" customFormat="1" ht="19.5" customHeight="1">
      <c r="A117" s="133"/>
      <c r="B117" s="134">
        <v>85395</v>
      </c>
      <c r="C117" s="230"/>
      <c r="D117" s="187" t="s">
        <v>6</v>
      </c>
      <c r="E117" s="176">
        <f aca="true" t="shared" si="75" ref="E117:K117">SUM(E118:E119)</f>
        <v>0</v>
      </c>
      <c r="F117" s="176">
        <f t="shared" si="75"/>
        <v>385204</v>
      </c>
      <c r="G117" s="176">
        <f t="shared" si="75"/>
        <v>385204</v>
      </c>
      <c r="H117" s="176">
        <f t="shared" si="75"/>
        <v>0</v>
      </c>
      <c r="I117" s="176">
        <f t="shared" si="75"/>
        <v>385204</v>
      </c>
      <c r="J117" s="176">
        <f t="shared" si="75"/>
        <v>0</v>
      </c>
      <c r="K117" s="176">
        <f t="shared" si="75"/>
        <v>385204</v>
      </c>
      <c r="L117" s="176">
        <f aca="true" t="shared" si="76" ref="L117:Q117">SUM(L118:L119)</f>
        <v>0</v>
      </c>
      <c r="M117" s="176">
        <f t="shared" si="76"/>
        <v>385204</v>
      </c>
      <c r="N117" s="176">
        <f t="shared" si="76"/>
        <v>300147</v>
      </c>
      <c r="O117" s="176">
        <f t="shared" si="76"/>
        <v>685351</v>
      </c>
      <c r="P117" s="176">
        <f t="shared" si="76"/>
        <v>0</v>
      </c>
      <c r="Q117" s="176">
        <f t="shared" si="76"/>
        <v>685351</v>
      </c>
    </row>
    <row r="118" spans="1:17" s="132" customFormat="1" ht="67.5">
      <c r="A118" s="133"/>
      <c r="B118" s="134"/>
      <c r="C118" s="230">
        <v>2009</v>
      </c>
      <c r="D118" s="187" t="s">
        <v>390</v>
      </c>
      <c r="E118" s="176">
        <v>0</v>
      </c>
      <c r="F118" s="176">
        <v>57781</v>
      </c>
      <c r="G118" s="176">
        <f>SUM(E118:F118)</f>
        <v>57781</v>
      </c>
      <c r="H118" s="176"/>
      <c r="I118" s="176">
        <f>SUM(G118:H118)</f>
        <v>57781</v>
      </c>
      <c r="J118" s="176"/>
      <c r="K118" s="176">
        <f>SUM(I118:J118)</f>
        <v>57781</v>
      </c>
      <c r="L118" s="176"/>
      <c r="M118" s="176">
        <f>SUM(K118:L118)</f>
        <v>57781</v>
      </c>
      <c r="N118" s="176">
        <v>15091</v>
      </c>
      <c r="O118" s="176">
        <f>SUM(M118:N118)</f>
        <v>72872</v>
      </c>
      <c r="P118" s="176"/>
      <c r="Q118" s="176">
        <f>SUM(O118:P118)</f>
        <v>72872</v>
      </c>
    </row>
    <row r="119" spans="1:17" s="132" customFormat="1" ht="45">
      <c r="A119" s="133"/>
      <c r="B119" s="134"/>
      <c r="C119" s="230">
        <v>2707</v>
      </c>
      <c r="D119" s="187" t="s">
        <v>391</v>
      </c>
      <c r="E119" s="176">
        <v>0</v>
      </c>
      <c r="F119" s="176">
        <v>327423</v>
      </c>
      <c r="G119" s="176">
        <f>SUM(E119:F119)</f>
        <v>327423</v>
      </c>
      <c r="H119" s="176"/>
      <c r="I119" s="176">
        <f>SUM(G119:H119)</f>
        <v>327423</v>
      </c>
      <c r="J119" s="176"/>
      <c r="K119" s="176">
        <f>SUM(I119:J119)</f>
        <v>327423</v>
      </c>
      <c r="L119" s="176"/>
      <c r="M119" s="176">
        <f>SUM(K119:L119)</f>
        <v>327423</v>
      </c>
      <c r="N119" s="176">
        <v>285056</v>
      </c>
      <c r="O119" s="176">
        <f>SUM(M119:N119)</f>
        <v>612479</v>
      </c>
      <c r="P119" s="176"/>
      <c r="Q119" s="176">
        <f>SUM(O119:P119)</f>
        <v>612479</v>
      </c>
    </row>
    <row r="120" spans="1:17" s="229" customFormat="1" ht="24.75" customHeight="1">
      <c r="A120" s="224">
        <v>854</v>
      </c>
      <c r="B120" s="225"/>
      <c r="C120" s="226"/>
      <c r="D120" s="227" t="s">
        <v>58</v>
      </c>
      <c r="E120" s="228"/>
      <c r="F120" s="228"/>
      <c r="G120" s="228"/>
      <c r="H120" s="228"/>
      <c r="I120" s="228">
        <f aca="true" t="shared" si="77" ref="I120:Q121">SUM(I121)</f>
        <v>0</v>
      </c>
      <c r="J120" s="228">
        <f t="shared" si="77"/>
        <v>238136</v>
      </c>
      <c r="K120" s="228">
        <f t="shared" si="77"/>
        <v>238136</v>
      </c>
      <c r="L120" s="228">
        <f t="shared" si="77"/>
        <v>0</v>
      </c>
      <c r="M120" s="228">
        <f t="shared" si="77"/>
        <v>238136</v>
      </c>
      <c r="N120" s="228">
        <f t="shared" si="77"/>
        <v>0</v>
      </c>
      <c r="O120" s="228">
        <f t="shared" si="77"/>
        <v>238136</v>
      </c>
      <c r="P120" s="228">
        <f t="shared" si="77"/>
        <v>49340</v>
      </c>
      <c r="Q120" s="228">
        <f t="shared" si="77"/>
        <v>287476</v>
      </c>
    </row>
    <row r="121" spans="1:17" s="132" customFormat="1" ht="24" customHeight="1">
      <c r="A121" s="133"/>
      <c r="B121" s="134">
        <v>85415</v>
      </c>
      <c r="C121" s="230"/>
      <c r="D121" s="187" t="s">
        <v>404</v>
      </c>
      <c r="E121" s="176"/>
      <c r="F121" s="176"/>
      <c r="G121" s="176"/>
      <c r="H121" s="176"/>
      <c r="I121" s="176">
        <f t="shared" si="77"/>
        <v>0</v>
      </c>
      <c r="J121" s="176">
        <f t="shared" si="77"/>
        <v>238136</v>
      </c>
      <c r="K121" s="176">
        <f t="shared" si="77"/>
        <v>238136</v>
      </c>
      <c r="L121" s="176">
        <f t="shared" si="77"/>
        <v>0</v>
      </c>
      <c r="M121" s="176">
        <f t="shared" si="77"/>
        <v>238136</v>
      </c>
      <c r="N121" s="176">
        <f t="shared" si="77"/>
        <v>0</v>
      </c>
      <c r="O121" s="176">
        <f t="shared" si="77"/>
        <v>238136</v>
      </c>
      <c r="P121" s="176">
        <f t="shared" si="77"/>
        <v>49340</v>
      </c>
      <c r="Q121" s="176">
        <f t="shared" si="77"/>
        <v>287476</v>
      </c>
    </row>
    <row r="122" spans="1:17" s="132" customFormat="1" ht="33.75">
      <c r="A122" s="133"/>
      <c r="B122" s="134"/>
      <c r="C122" s="230">
        <v>2030</v>
      </c>
      <c r="D122" s="187" t="s">
        <v>209</v>
      </c>
      <c r="E122" s="176"/>
      <c r="F122" s="176"/>
      <c r="G122" s="176"/>
      <c r="H122" s="176"/>
      <c r="I122" s="176">
        <v>0</v>
      </c>
      <c r="J122" s="176">
        <v>238136</v>
      </c>
      <c r="K122" s="176">
        <f>SUM(I122:J122)</f>
        <v>238136</v>
      </c>
      <c r="L122" s="176"/>
      <c r="M122" s="176">
        <f>SUM(K122:L122)</f>
        <v>238136</v>
      </c>
      <c r="N122" s="176"/>
      <c r="O122" s="176">
        <f>SUM(M122:N122)</f>
        <v>238136</v>
      </c>
      <c r="P122" s="176">
        <v>49340</v>
      </c>
      <c r="Q122" s="176">
        <f>SUM(O122:P122)</f>
        <v>287476</v>
      </c>
    </row>
    <row r="123" spans="1:17" s="9" customFormat="1" ht="24" customHeight="1">
      <c r="A123" s="31">
        <v>900</v>
      </c>
      <c r="B123" s="34"/>
      <c r="C123" s="35"/>
      <c r="D123" s="32" t="s">
        <v>60</v>
      </c>
      <c r="E123" s="57">
        <f aca="true" t="shared" si="78" ref="E123:K123">SUM(E124,E126,E128)</f>
        <v>357000</v>
      </c>
      <c r="F123" s="57">
        <f t="shared" si="78"/>
        <v>0</v>
      </c>
      <c r="G123" s="57">
        <f t="shared" si="78"/>
        <v>357000</v>
      </c>
      <c r="H123" s="57">
        <f t="shared" si="78"/>
        <v>0</v>
      </c>
      <c r="I123" s="57">
        <f t="shared" si="78"/>
        <v>357000</v>
      </c>
      <c r="J123" s="57">
        <f t="shared" si="78"/>
        <v>0</v>
      </c>
      <c r="K123" s="57">
        <f t="shared" si="78"/>
        <v>357000</v>
      </c>
      <c r="L123" s="57">
        <f aca="true" t="shared" si="79" ref="L123:Q123">SUM(L124,L126,L128)</f>
        <v>0</v>
      </c>
      <c r="M123" s="57">
        <f t="shared" si="79"/>
        <v>357000</v>
      </c>
      <c r="N123" s="57">
        <f t="shared" si="79"/>
        <v>0</v>
      </c>
      <c r="O123" s="57">
        <f t="shared" si="79"/>
        <v>357000</v>
      </c>
      <c r="P123" s="57">
        <f t="shared" si="79"/>
        <v>0</v>
      </c>
      <c r="Q123" s="57">
        <f t="shared" si="79"/>
        <v>357000</v>
      </c>
    </row>
    <row r="124" spans="1:17" s="132" customFormat="1" ht="24" customHeight="1">
      <c r="A124" s="71"/>
      <c r="B124" s="72">
        <v>90001</v>
      </c>
      <c r="C124" s="73"/>
      <c r="D124" s="41" t="s">
        <v>61</v>
      </c>
      <c r="E124" s="70">
        <f aca="true" t="shared" si="80" ref="E124:Q124">SUM(E125)</f>
        <v>10000</v>
      </c>
      <c r="F124" s="70">
        <f t="shared" si="80"/>
        <v>0</v>
      </c>
      <c r="G124" s="70">
        <f t="shared" si="80"/>
        <v>10000</v>
      </c>
      <c r="H124" s="70">
        <f t="shared" si="80"/>
        <v>0</v>
      </c>
      <c r="I124" s="70">
        <f t="shared" si="80"/>
        <v>10000</v>
      </c>
      <c r="J124" s="70">
        <f t="shared" si="80"/>
        <v>0</v>
      </c>
      <c r="K124" s="70">
        <f t="shared" si="80"/>
        <v>10000</v>
      </c>
      <c r="L124" s="70">
        <f t="shared" si="80"/>
        <v>0</v>
      </c>
      <c r="M124" s="70">
        <f t="shared" si="80"/>
        <v>10000</v>
      </c>
      <c r="N124" s="70">
        <f t="shared" si="80"/>
        <v>0</v>
      </c>
      <c r="O124" s="70">
        <f t="shared" si="80"/>
        <v>10000</v>
      </c>
      <c r="P124" s="70">
        <f t="shared" si="80"/>
        <v>0</v>
      </c>
      <c r="Q124" s="70">
        <f t="shared" si="80"/>
        <v>10000</v>
      </c>
    </row>
    <row r="125" spans="1:17" s="132" customFormat="1" ht="24" customHeight="1">
      <c r="A125" s="180"/>
      <c r="B125" s="94"/>
      <c r="C125" s="77" t="s">
        <v>161</v>
      </c>
      <c r="D125" s="75" t="s">
        <v>12</v>
      </c>
      <c r="E125" s="70">
        <v>10000</v>
      </c>
      <c r="F125" s="70"/>
      <c r="G125" s="70">
        <f>SUM(E125:F125)</f>
        <v>10000</v>
      </c>
      <c r="H125" s="70"/>
      <c r="I125" s="70">
        <f>SUM(G125:H125)</f>
        <v>10000</v>
      </c>
      <c r="J125" s="70"/>
      <c r="K125" s="70">
        <f>SUM(I125:J125)</f>
        <v>10000</v>
      </c>
      <c r="L125" s="70"/>
      <c r="M125" s="70">
        <f>SUM(K125:L125)</f>
        <v>10000</v>
      </c>
      <c r="N125" s="70"/>
      <c r="O125" s="70">
        <f>SUM(M125:N125)</f>
        <v>10000</v>
      </c>
      <c r="P125" s="70"/>
      <c r="Q125" s="70">
        <f>SUM(O125:P125)</f>
        <v>10000</v>
      </c>
    </row>
    <row r="126" spans="1:17" s="132" customFormat="1" ht="33.75">
      <c r="A126" s="71"/>
      <c r="B126" s="72">
        <v>90019</v>
      </c>
      <c r="C126" s="77"/>
      <c r="D126" s="41" t="s">
        <v>290</v>
      </c>
      <c r="E126" s="70">
        <f aca="true" t="shared" si="81" ref="E126:Q126">SUM(E127)</f>
        <v>341000</v>
      </c>
      <c r="F126" s="70">
        <f t="shared" si="81"/>
        <v>0</v>
      </c>
      <c r="G126" s="70">
        <f t="shared" si="81"/>
        <v>341000</v>
      </c>
      <c r="H126" s="70">
        <f t="shared" si="81"/>
        <v>0</v>
      </c>
      <c r="I126" s="70">
        <f t="shared" si="81"/>
        <v>341000</v>
      </c>
      <c r="J126" s="70">
        <f t="shared" si="81"/>
        <v>0</v>
      </c>
      <c r="K126" s="70">
        <f t="shared" si="81"/>
        <v>341000</v>
      </c>
      <c r="L126" s="70">
        <f t="shared" si="81"/>
        <v>0</v>
      </c>
      <c r="M126" s="70">
        <f t="shared" si="81"/>
        <v>341000</v>
      </c>
      <c r="N126" s="70">
        <f t="shared" si="81"/>
        <v>0</v>
      </c>
      <c r="O126" s="70">
        <f t="shared" si="81"/>
        <v>341000</v>
      </c>
      <c r="P126" s="70">
        <f t="shared" si="81"/>
        <v>0</v>
      </c>
      <c r="Q126" s="70">
        <f t="shared" si="81"/>
        <v>341000</v>
      </c>
    </row>
    <row r="127" spans="1:17" s="132" customFormat="1" ht="24" customHeight="1">
      <c r="A127" s="71"/>
      <c r="B127" s="72"/>
      <c r="C127" s="77" t="s">
        <v>181</v>
      </c>
      <c r="D127" s="41" t="s">
        <v>141</v>
      </c>
      <c r="E127" s="70">
        <v>341000</v>
      </c>
      <c r="F127" s="70"/>
      <c r="G127" s="70">
        <f>SUM(E127:F127)</f>
        <v>341000</v>
      </c>
      <c r="H127" s="70"/>
      <c r="I127" s="70">
        <f>SUM(G127:H127)</f>
        <v>341000</v>
      </c>
      <c r="J127" s="70"/>
      <c r="K127" s="70">
        <f>SUM(I127:J127)</f>
        <v>341000</v>
      </c>
      <c r="L127" s="70"/>
      <c r="M127" s="70">
        <f>SUM(K127:L127)</f>
        <v>341000</v>
      </c>
      <c r="N127" s="70"/>
      <c r="O127" s="70">
        <f>SUM(M127:N127)</f>
        <v>341000</v>
      </c>
      <c r="P127" s="70"/>
      <c r="Q127" s="70">
        <f>SUM(O127:P127)</f>
        <v>341000</v>
      </c>
    </row>
    <row r="128" spans="1:17" s="26" customFormat="1" ht="24" customHeight="1">
      <c r="A128" s="71"/>
      <c r="B128" s="72">
        <v>90095</v>
      </c>
      <c r="C128" s="73"/>
      <c r="D128" s="75" t="s">
        <v>6</v>
      </c>
      <c r="E128" s="70">
        <f aca="true" t="shared" si="82" ref="E128:Q128">SUM(E129)</f>
        <v>6000</v>
      </c>
      <c r="F128" s="70">
        <f t="shared" si="82"/>
        <v>0</v>
      </c>
      <c r="G128" s="70">
        <f t="shared" si="82"/>
        <v>6000</v>
      </c>
      <c r="H128" s="70">
        <f t="shared" si="82"/>
        <v>0</v>
      </c>
      <c r="I128" s="70">
        <f t="shared" si="82"/>
        <v>6000</v>
      </c>
      <c r="J128" s="70">
        <f t="shared" si="82"/>
        <v>0</v>
      </c>
      <c r="K128" s="70">
        <f t="shared" si="82"/>
        <v>6000</v>
      </c>
      <c r="L128" s="70">
        <f t="shared" si="82"/>
        <v>0</v>
      </c>
      <c r="M128" s="70">
        <f t="shared" si="82"/>
        <v>6000</v>
      </c>
      <c r="N128" s="70">
        <f t="shared" si="82"/>
        <v>0</v>
      </c>
      <c r="O128" s="70">
        <f t="shared" si="82"/>
        <v>6000</v>
      </c>
      <c r="P128" s="70">
        <f t="shared" si="82"/>
        <v>0</v>
      </c>
      <c r="Q128" s="70">
        <f t="shared" si="82"/>
        <v>6000</v>
      </c>
    </row>
    <row r="129" spans="1:17" s="26" customFormat="1" ht="21.75" customHeight="1">
      <c r="A129" s="71"/>
      <c r="B129" s="72"/>
      <c r="C129" s="73" t="s">
        <v>175</v>
      </c>
      <c r="D129" s="75" t="s">
        <v>237</v>
      </c>
      <c r="E129" s="70">
        <v>6000</v>
      </c>
      <c r="F129" s="70"/>
      <c r="G129" s="70">
        <f>SUM(E129:F129)</f>
        <v>6000</v>
      </c>
      <c r="H129" s="70"/>
      <c r="I129" s="70">
        <f>SUM(G129:H129)</f>
        <v>6000</v>
      </c>
      <c r="J129" s="70"/>
      <c r="K129" s="70">
        <f>SUM(I129:J129)</f>
        <v>6000</v>
      </c>
      <c r="L129" s="70"/>
      <c r="M129" s="70">
        <f>SUM(K129:L129)</f>
        <v>6000</v>
      </c>
      <c r="N129" s="70"/>
      <c r="O129" s="70">
        <f>SUM(M129:N129)</f>
        <v>6000</v>
      </c>
      <c r="P129" s="70"/>
      <c r="Q129" s="70">
        <f>SUM(O129:P129)</f>
        <v>6000</v>
      </c>
    </row>
    <row r="130" spans="1:17" s="9" customFormat="1" ht="24" customHeight="1">
      <c r="A130" s="31" t="s">
        <v>62</v>
      </c>
      <c r="B130" s="4"/>
      <c r="C130" s="5"/>
      <c r="D130" s="32" t="s">
        <v>66</v>
      </c>
      <c r="E130" s="57">
        <f aca="true" t="shared" si="83" ref="E130:K130">SUM(E131,E133)</f>
        <v>60000</v>
      </c>
      <c r="F130" s="57">
        <f t="shared" si="83"/>
        <v>9700</v>
      </c>
      <c r="G130" s="57">
        <f t="shared" si="83"/>
        <v>69700</v>
      </c>
      <c r="H130" s="57">
        <f t="shared" si="83"/>
        <v>0</v>
      </c>
      <c r="I130" s="57">
        <f t="shared" si="83"/>
        <v>69700</v>
      </c>
      <c r="J130" s="57">
        <f t="shared" si="83"/>
        <v>0</v>
      </c>
      <c r="K130" s="57">
        <f t="shared" si="83"/>
        <v>69700</v>
      </c>
      <c r="L130" s="57">
        <f aca="true" t="shared" si="84" ref="L130:Q130">SUM(L131,L133)</f>
        <v>0</v>
      </c>
      <c r="M130" s="57">
        <f t="shared" si="84"/>
        <v>69700</v>
      </c>
      <c r="N130" s="57">
        <f t="shared" si="84"/>
        <v>0</v>
      </c>
      <c r="O130" s="57">
        <f t="shared" si="84"/>
        <v>69700</v>
      </c>
      <c r="P130" s="57">
        <f t="shared" si="84"/>
        <v>0</v>
      </c>
      <c r="Q130" s="57">
        <f t="shared" si="84"/>
        <v>69700</v>
      </c>
    </row>
    <row r="131" spans="1:17" s="132" customFormat="1" ht="24" customHeight="1">
      <c r="A131" s="133"/>
      <c r="B131" s="135">
        <v>92105</v>
      </c>
      <c r="C131" s="138"/>
      <c r="D131" s="187" t="s">
        <v>339</v>
      </c>
      <c r="E131" s="176">
        <f aca="true" t="shared" si="85" ref="E131:Q131">SUM(E132)</f>
        <v>0</v>
      </c>
      <c r="F131" s="176">
        <f t="shared" si="85"/>
        <v>9700</v>
      </c>
      <c r="G131" s="176">
        <f t="shared" si="85"/>
        <v>9700</v>
      </c>
      <c r="H131" s="176">
        <f t="shared" si="85"/>
        <v>0</v>
      </c>
      <c r="I131" s="176">
        <f t="shared" si="85"/>
        <v>9700</v>
      </c>
      <c r="J131" s="176">
        <f t="shared" si="85"/>
        <v>0</v>
      </c>
      <c r="K131" s="176">
        <f t="shared" si="85"/>
        <v>9700</v>
      </c>
      <c r="L131" s="176">
        <f t="shared" si="85"/>
        <v>0</v>
      </c>
      <c r="M131" s="176">
        <f t="shared" si="85"/>
        <v>9700</v>
      </c>
      <c r="N131" s="176">
        <f t="shared" si="85"/>
        <v>0</v>
      </c>
      <c r="O131" s="176">
        <f t="shared" si="85"/>
        <v>9700</v>
      </c>
      <c r="P131" s="176">
        <f t="shared" si="85"/>
        <v>0</v>
      </c>
      <c r="Q131" s="176">
        <f t="shared" si="85"/>
        <v>9700</v>
      </c>
    </row>
    <row r="132" spans="1:17" s="132" customFormat="1" ht="24" customHeight="1">
      <c r="A132" s="133"/>
      <c r="B132" s="135"/>
      <c r="C132" s="138">
        <v>2320</v>
      </c>
      <c r="D132" s="41" t="s">
        <v>275</v>
      </c>
      <c r="E132" s="176">
        <v>0</v>
      </c>
      <c r="F132" s="176">
        <v>9700</v>
      </c>
      <c r="G132" s="176">
        <f>SUM(E132:F132)</f>
        <v>9700</v>
      </c>
      <c r="H132" s="176"/>
      <c r="I132" s="176">
        <f>SUM(G132:H132)</f>
        <v>9700</v>
      </c>
      <c r="J132" s="176"/>
      <c r="K132" s="176">
        <f>SUM(I132:J132)</f>
        <v>9700</v>
      </c>
      <c r="L132" s="176"/>
      <c r="M132" s="176">
        <f>SUM(K132:L132)</f>
        <v>9700</v>
      </c>
      <c r="N132" s="176"/>
      <c r="O132" s="176">
        <f>SUM(M132:N132)</f>
        <v>9700</v>
      </c>
      <c r="P132" s="176"/>
      <c r="Q132" s="176">
        <f>SUM(O132:P132)</f>
        <v>9700</v>
      </c>
    </row>
    <row r="133" spans="1:17" s="26" customFormat="1" ht="24" customHeight="1">
      <c r="A133" s="71"/>
      <c r="B133" s="72" t="s">
        <v>63</v>
      </c>
      <c r="C133" s="78"/>
      <c r="D133" s="75" t="s">
        <v>64</v>
      </c>
      <c r="E133" s="70">
        <f aca="true" t="shared" si="86" ref="E133:Q133">SUM(E134)</f>
        <v>60000</v>
      </c>
      <c r="F133" s="70">
        <f t="shared" si="86"/>
        <v>0</v>
      </c>
      <c r="G133" s="70">
        <f t="shared" si="86"/>
        <v>60000</v>
      </c>
      <c r="H133" s="70">
        <f t="shared" si="86"/>
        <v>0</v>
      </c>
      <c r="I133" s="70">
        <f t="shared" si="86"/>
        <v>60000</v>
      </c>
      <c r="J133" s="70">
        <f t="shared" si="86"/>
        <v>0</v>
      </c>
      <c r="K133" s="70">
        <f t="shared" si="86"/>
        <v>60000</v>
      </c>
      <c r="L133" s="70">
        <f t="shared" si="86"/>
        <v>0</v>
      </c>
      <c r="M133" s="70">
        <f t="shared" si="86"/>
        <v>60000</v>
      </c>
      <c r="N133" s="70">
        <f t="shared" si="86"/>
        <v>0</v>
      </c>
      <c r="O133" s="70">
        <f t="shared" si="86"/>
        <v>60000</v>
      </c>
      <c r="P133" s="70">
        <f t="shared" si="86"/>
        <v>0</v>
      </c>
      <c r="Q133" s="70">
        <f t="shared" si="86"/>
        <v>60000</v>
      </c>
    </row>
    <row r="134" spans="1:17" s="26" customFormat="1" ht="45">
      <c r="A134" s="72"/>
      <c r="B134" s="72"/>
      <c r="C134" s="73">
        <v>2320</v>
      </c>
      <c r="D134" s="41" t="s">
        <v>275</v>
      </c>
      <c r="E134" s="70">
        <v>60000</v>
      </c>
      <c r="F134" s="70"/>
      <c r="G134" s="70">
        <f>SUM(E134:F134)</f>
        <v>60000</v>
      </c>
      <c r="H134" s="70"/>
      <c r="I134" s="70">
        <f>SUM(G134:H134)</f>
        <v>60000</v>
      </c>
      <c r="J134" s="70"/>
      <c r="K134" s="70">
        <f>SUM(I134:J134)</f>
        <v>60000</v>
      </c>
      <c r="L134" s="70"/>
      <c r="M134" s="70">
        <f>SUM(K134:L134)</f>
        <v>60000</v>
      </c>
      <c r="N134" s="70"/>
      <c r="O134" s="70">
        <f>SUM(M134:N134)</f>
        <v>60000</v>
      </c>
      <c r="P134" s="70"/>
      <c r="Q134" s="70">
        <f>SUM(O134:P134)</f>
        <v>60000</v>
      </c>
    </row>
    <row r="135" spans="1:17" s="152" customFormat="1" ht="24.75" customHeight="1">
      <c r="A135" s="167">
        <v>926</v>
      </c>
      <c r="B135" s="167"/>
      <c r="C135" s="167"/>
      <c r="D135" s="246" t="s">
        <v>453</v>
      </c>
      <c r="E135" s="247"/>
      <c r="F135" s="247"/>
      <c r="G135" s="247"/>
      <c r="H135" s="247"/>
      <c r="I135" s="247"/>
      <c r="J135" s="247"/>
      <c r="K135" s="247"/>
      <c r="L135" s="247"/>
      <c r="M135" s="247">
        <f aca="true" t="shared" si="87" ref="M135:Q136">SUM(M136)</f>
        <v>0</v>
      </c>
      <c r="N135" s="247">
        <f t="shared" si="87"/>
        <v>21100</v>
      </c>
      <c r="O135" s="247">
        <f t="shared" si="87"/>
        <v>21100</v>
      </c>
      <c r="P135" s="247">
        <f t="shared" si="87"/>
        <v>0</v>
      </c>
      <c r="Q135" s="247">
        <f t="shared" si="87"/>
        <v>21100</v>
      </c>
    </row>
    <row r="136" spans="1:17" s="26" customFormat="1" ht="19.5" customHeight="1">
      <c r="A136" s="72"/>
      <c r="B136" s="72">
        <v>92695</v>
      </c>
      <c r="C136" s="72"/>
      <c r="D136" s="65" t="s">
        <v>6</v>
      </c>
      <c r="E136" s="70"/>
      <c r="F136" s="70"/>
      <c r="G136" s="70"/>
      <c r="H136" s="70"/>
      <c r="I136" s="70"/>
      <c r="J136" s="70"/>
      <c r="K136" s="70"/>
      <c r="L136" s="70"/>
      <c r="M136" s="70">
        <f t="shared" si="87"/>
        <v>0</v>
      </c>
      <c r="N136" s="70">
        <f t="shared" si="87"/>
        <v>21100</v>
      </c>
      <c r="O136" s="70">
        <f t="shared" si="87"/>
        <v>21100</v>
      </c>
      <c r="P136" s="70">
        <f t="shared" si="87"/>
        <v>0</v>
      </c>
      <c r="Q136" s="70">
        <f t="shared" si="87"/>
        <v>21100</v>
      </c>
    </row>
    <row r="137" spans="1:17" s="26" customFormat="1" ht="33.75">
      <c r="A137" s="72"/>
      <c r="B137" s="72"/>
      <c r="C137" s="72">
        <v>2440</v>
      </c>
      <c r="D137" s="65" t="s">
        <v>452</v>
      </c>
      <c r="E137" s="70"/>
      <c r="F137" s="70"/>
      <c r="G137" s="70"/>
      <c r="H137" s="70"/>
      <c r="I137" s="70"/>
      <c r="J137" s="70"/>
      <c r="K137" s="70"/>
      <c r="L137" s="70"/>
      <c r="M137" s="70">
        <v>0</v>
      </c>
      <c r="N137" s="70">
        <v>21100</v>
      </c>
      <c r="O137" s="70">
        <f>SUM(M137:N137)</f>
        <v>21100</v>
      </c>
      <c r="P137" s="70"/>
      <c r="Q137" s="70">
        <f>SUM(O137:P137)</f>
        <v>21100</v>
      </c>
    </row>
    <row r="138" spans="1:17" ht="26.25" customHeight="1">
      <c r="A138" s="15"/>
      <c r="B138" s="16"/>
      <c r="C138" s="17"/>
      <c r="D138" s="18" t="s">
        <v>65</v>
      </c>
      <c r="E138" s="57">
        <f>SUM(E7,E12,E19,E26,E31,E35,E65,E95,E123,E130,E74,E116)</f>
        <v>60083985</v>
      </c>
      <c r="F138" s="57">
        <f>SUM(F7,F12,F19,F26,F31,F35,F65,F95,F123,F130,F74,F116)</f>
        <v>1096438</v>
      </c>
      <c r="G138" s="57">
        <f>SUM(G7,G12,G19,G26,G31,G35,G65,G95,G123,G130,G74,G116)</f>
        <v>61180423</v>
      </c>
      <c r="H138" s="57">
        <f>SUM(H7,H12,H19,H26,H31,H35,H65,H95,H123,H130,H74,H116)</f>
        <v>1373437</v>
      </c>
      <c r="I138" s="57">
        <f>SUM(I7,I12,I19,I26,I31,I35,I65,I95,I123,I130,I74,I116,I120)</f>
        <v>62553860</v>
      </c>
      <c r="J138" s="57">
        <f>SUM(J7,J12,J19,J26,J31,J35,J65,J95,J123,J130,J74,J116,J120)</f>
        <v>238136</v>
      </c>
      <c r="K138" s="57">
        <f>SUM(K7,K12,K19,K26,K31,K35,K65,K95,K123,K130,K74,K116,K120)</f>
        <v>62791996</v>
      </c>
      <c r="L138" s="57">
        <f>SUM(L7,L12,L19,L26,L31,L35,L65,L95,L123,L130,L74,L116,L120)</f>
        <v>486700</v>
      </c>
      <c r="M138" s="57">
        <f>SUM(M7,M12,M19,M26,M31,M35,M65,M95,M123,M130,M74,M116,M120,M135)</f>
        <v>63278696</v>
      </c>
      <c r="N138" s="57">
        <f>SUM(N7,N12,N19,N26,N31,N35,N65,N95,N123,N130,N74,N116,N120,N135)</f>
        <v>600658</v>
      </c>
      <c r="O138" s="57">
        <f>SUM(O7,O12,O19,O26,O31,O35,O65,O95,O123,O130,O74,O116,O120,O135)</f>
        <v>63879354</v>
      </c>
      <c r="P138" s="57">
        <f>SUM(P7,P12,P19,P26,P31,P35,P65,P95,P123,P130,P74,P116,P120,P135)</f>
        <v>485438</v>
      </c>
      <c r="Q138" s="57">
        <f>SUM(Q7,Q12,Q19,Q26,Q31,Q35,Q65,Q95,Q123,Q130,Q74,Q116,Q120,Q135)</f>
        <v>64364792</v>
      </c>
    </row>
    <row r="140" ht="12.75">
      <c r="D140" s="100"/>
    </row>
    <row r="141" ht="12.75">
      <c r="D141" s="100"/>
    </row>
    <row r="142" ht="12.75">
      <c r="D142" s="100"/>
    </row>
    <row r="143" ht="12.75">
      <c r="D143" s="100"/>
    </row>
    <row r="144" spans="4:7" ht="12.75">
      <c r="D144" s="100"/>
      <c r="F144" s="30">
        <v>9700</v>
      </c>
      <c r="G144" s="30" t="s">
        <v>340</v>
      </c>
    </row>
    <row r="145" spans="4:16" ht="12.75">
      <c r="D145" s="100"/>
      <c r="F145" s="30">
        <v>593300</v>
      </c>
      <c r="G145" s="30" t="s">
        <v>341</v>
      </c>
      <c r="P145" s="188"/>
    </row>
    <row r="146" spans="4:7" ht="12.75">
      <c r="D146" s="100"/>
      <c r="F146" s="30">
        <v>46434</v>
      </c>
      <c r="G146" s="30" t="s">
        <v>342</v>
      </c>
    </row>
    <row r="147" spans="4:16" ht="12.75">
      <c r="D147" s="100"/>
      <c r="F147" s="188">
        <f>SUM(F144:F146)</f>
        <v>649434</v>
      </c>
      <c r="H147" s="188"/>
      <c r="J147" s="188"/>
      <c r="L147" s="188"/>
      <c r="N147" s="188"/>
      <c r="P147" s="188"/>
    </row>
    <row r="148" ht="12.75">
      <c r="D148" s="100"/>
    </row>
    <row r="149" ht="12.75">
      <c r="D149" s="100"/>
    </row>
    <row r="150" spans="1:17" s="24" customFormat="1" ht="12">
      <c r="A150" s="9"/>
      <c r="B150" s="9"/>
      <c r="C150" s="9"/>
      <c r="D150" s="10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s="24" customFormat="1" ht="12">
      <c r="A151" s="9"/>
      <c r="B151" s="9"/>
      <c r="C151" s="9"/>
      <c r="D151" s="10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s="24" customFormat="1" ht="12">
      <c r="A152" s="9"/>
      <c r="B152" s="9"/>
      <c r="C152" s="9"/>
      <c r="D152" s="10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s="24" customFormat="1" ht="12">
      <c r="A153" s="9"/>
      <c r="B153" s="9"/>
      <c r="C153" s="9"/>
      <c r="D153" s="10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s="24" customFormat="1" ht="12">
      <c r="A154" s="9"/>
      <c r="B154" s="9"/>
      <c r="C154" s="9"/>
      <c r="D154" s="100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1:17" s="24" customFormat="1" ht="12">
      <c r="A155" s="9"/>
      <c r="B155" s="9"/>
      <c r="C155" s="9"/>
      <c r="D155" s="10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s="24" customFormat="1" ht="12">
      <c r="A156" s="9"/>
      <c r="B156" s="9"/>
      <c r="C156" s="9"/>
      <c r="D156" s="10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s="24" customFormat="1" ht="12">
      <c r="A157" s="9"/>
      <c r="B157" s="9"/>
      <c r="C157" s="9"/>
      <c r="D157" s="10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s="24" customFormat="1" ht="12">
      <c r="A158" s="9"/>
      <c r="B158" s="9"/>
      <c r="C158" s="9"/>
      <c r="D158" s="10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s="24" customFormat="1" ht="12">
      <c r="A159" s="9"/>
      <c r="B159" s="9"/>
      <c r="C159" s="9"/>
      <c r="D159" s="10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s="24" customFormat="1" ht="12">
      <c r="A160" s="9"/>
      <c r="B160" s="9"/>
      <c r="C160" s="9"/>
      <c r="D160" s="100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1:17" s="24" customFormat="1" ht="12">
      <c r="A161" s="9"/>
      <c r="B161" s="9"/>
      <c r="C161" s="9"/>
      <c r="D161" s="10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s="24" customFormat="1" ht="12">
      <c r="A162" s="9"/>
      <c r="B162" s="9"/>
      <c r="C162" s="9"/>
      <c r="D162" s="10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s="24" customFormat="1" ht="12">
      <c r="A163" s="9"/>
      <c r="B163" s="9"/>
      <c r="C163" s="9"/>
      <c r="D163" s="10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s="24" customFormat="1" ht="12">
      <c r="A164" s="9"/>
      <c r="B164" s="9"/>
      <c r="C164" s="9"/>
      <c r="D164" s="10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s="24" customFormat="1" ht="12">
      <c r="A165" s="9"/>
      <c r="B165" s="9"/>
      <c r="C165" s="9"/>
      <c r="D165" s="10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s="23" customFormat="1" ht="12.75">
      <c r="A166" s="9"/>
      <c r="B166" s="9"/>
      <c r="C166" s="9"/>
      <c r="D166" s="99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79" spans="1:17" s="23" customFormat="1" ht="12.75">
      <c r="A179" s="9"/>
      <c r="B179" s="9"/>
      <c r="C179" s="9"/>
      <c r="D179" s="9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1:17" s="23" customFormat="1" ht="12.75">
      <c r="A180" s="9"/>
      <c r="B180" s="9"/>
      <c r="C180" s="9"/>
      <c r="D180" s="9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</sheetData>
  <sheetProtection/>
  <printOptions horizontalCentered="1"/>
  <pageMargins left="0.31496062992125984" right="0.3937007874015748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2"/>
  <sheetViews>
    <sheetView zoomScalePageLayoutView="0" workbookViewId="0" topLeftCell="A527">
      <selection activeCell="Q534" sqref="Q534:R539"/>
    </sheetView>
  </sheetViews>
  <sheetFormatPr defaultColWidth="9.00390625" defaultRowHeight="12.75"/>
  <cols>
    <col min="1" max="1" width="5.875" style="9" customWidth="1"/>
    <col min="2" max="2" width="7.25390625" style="9" bestFit="1" customWidth="1"/>
    <col min="3" max="3" width="4.375" style="9" bestFit="1" customWidth="1"/>
    <col min="4" max="4" width="37.00390625" style="9" customWidth="1"/>
    <col min="5" max="5" width="17.375" style="30" hidden="1" customWidth="1"/>
    <col min="6" max="6" width="11.25390625" style="30" hidden="1" customWidth="1"/>
    <col min="7" max="7" width="18.00390625" style="30" hidden="1" customWidth="1"/>
    <col min="8" max="8" width="10.375" style="30" hidden="1" customWidth="1"/>
    <col min="9" max="9" width="12.25390625" style="30" hidden="1" customWidth="1"/>
    <col min="10" max="10" width="17.875" style="30" hidden="1" customWidth="1"/>
    <col min="11" max="11" width="12.25390625" style="30" hidden="1" customWidth="1"/>
    <col min="12" max="12" width="19.00390625" style="30" hidden="1" customWidth="1"/>
    <col min="13" max="13" width="40.00390625" style="30" hidden="1" customWidth="1"/>
    <col min="14" max="14" width="9.875" style="30" hidden="1" customWidth="1"/>
    <col min="15" max="15" width="45.375" style="30" hidden="1" customWidth="1"/>
    <col min="16" max="16" width="9.875" style="30" hidden="1" customWidth="1"/>
    <col min="17" max="17" width="12.75390625" style="30" customWidth="1"/>
    <col min="18" max="18" width="13.00390625" style="30" customWidth="1"/>
    <col min="19" max="19" width="12.75390625" style="30" customWidth="1"/>
  </cols>
  <sheetData>
    <row r="1" spans="1:19" ht="12.75">
      <c r="A1" s="104"/>
      <c r="B1" s="104"/>
      <c r="C1" s="104"/>
      <c r="D1" s="104"/>
      <c r="E1" s="56" t="s">
        <v>187</v>
      </c>
      <c r="F1" s="56"/>
      <c r="G1" s="56" t="s">
        <v>187</v>
      </c>
      <c r="H1" s="56"/>
      <c r="I1" s="56"/>
      <c r="J1" s="56" t="s">
        <v>405</v>
      </c>
      <c r="K1" s="56"/>
      <c r="L1" s="56" t="s">
        <v>405</v>
      </c>
      <c r="M1" s="56" t="s">
        <v>440</v>
      </c>
      <c r="N1" s="56"/>
      <c r="O1" s="56" t="s">
        <v>442</v>
      </c>
      <c r="P1" s="56"/>
      <c r="Q1" s="56" t="s">
        <v>486</v>
      </c>
      <c r="R1" s="56"/>
      <c r="S1" s="56"/>
    </row>
    <row r="2" spans="1:19" ht="12.75">
      <c r="A2" s="104"/>
      <c r="B2" s="104"/>
      <c r="C2" s="104"/>
      <c r="D2" s="104"/>
      <c r="E2" s="56" t="s">
        <v>217</v>
      </c>
      <c r="F2" s="56"/>
      <c r="G2" s="56" t="s">
        <v>356</v>
      </c>
      <c r="H2" s="56"/>
      <c r="I2" s="56"/>
      <c r="J2" s="56" t="s">
        <v>406</v>
      </c>
      <c r="K2" s="56"/>
      <c r="L2" s="56" t="s">
        <v>408</v>
      </c>
      <c r="M2" s="56" t="s">
        <v>441</v>
      </c>
      <c r="N2" s="56"/>
      <c r="O2" s="56" t="s">
        <v>443</v>
      </c>
      <c r="P2" s="56"/>
      <c r="Q2" s="56" t="s">
        <v>467</v>
      </c>
      <c r="R2" s="56"/>
      <c r="S2" s="56"/>
    </row>
    <row r="3" spans="1:19" ht="12.75">
      <c r="A3" s="104"/>
      <c r="B3" s="104"/>
      <c r="C3" s="104"/>
      <c r="D3" s="104"/>
      <c r="E3" s="56" t="s">
        <v>144</v>
      </c>
      <c r="F3" s="56"/>
      <c r="G3" s="56" t="s">
        <v>144</v>
      </c>
      <c r="H3" s="56"/>
      <c r="I3" s="56"/>
      <c r="J3" s="56" t="s">
        <v>407</v>
      </c>
      <c r="K3" s="56"/>
      <c r="L3" s="56" t="s">
        <v>407</v>
      </c>
      <c r="M3" s="56" t="s">
        <v>426</v>
      </c>
      <c r="N3" s="56"/>
      <c r="O3" s="56" t="s">
        <v>444</v>
      </c>
      <c r="P3" s="56"/>
      <c r="Q3" s="56" t="s">
        <v>468</v>
      </c>
      <c r="R3" s="56"/>
      <c r="S3" s="56"/>
    </row>
    <row r="4" spans="1:19" ht="12.75">
      <c r="A4" s="104"/>
      <c r="B4" s="104"/>
      <c r="C4" s="104"/>
      <c r="D4" s="104"/>
      <c r="E4" s="56" t="s">
        <v>218</v>
      </c>
      <c r="F4" s="56"/>
      <c r="G4" s="56" t="s">
        <v>357</v>
      </c>
      <c r="H4" s="56"/>
      <c r="I4" s="56"/>
      <c r="J4" s="56" t="s">
        <v>402</v>
      </c>
      <c r="K4" s="56"/>
      <c r="L4" s="56" t="s">
        <v>403</v>
      </c>
      <c r="M4" s="56" t="s">
        <v>427</v>
      </c>
      <c r="N4" s="56"/>
      <c r="O4" s="56" t="s">
        <v>445</v>
      </c>
      <c r="P4" s="56"/>
      <c r="Q4" s="56" t="s">
        <v>460</v>
      </c>
      <c r="R4" s="56"/>
      <c r="S4" s="56"/>
    </row>
    <row r="5" spans="1:19" ht="21" customHeight="1">
      <c r="A5" s="255" t="s">
        <v>287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/>
      <c r="S5"/>
    </row>
    <row r="6" spans="1:19" s="9" customFormat="1" ht="24.75" customHeight="1">
      <c r="A6" s="38" t="s">
        <v>0</v>
      </c>
      <c r="B6" s="38" t="s">
        <v>1</v>
      </c>
      <c r="C6" s="38" t="s">
        <v>2</v>
      </c>
      <c r="D6" s="38" t="s">
        <v>3</v>
      </c>
      <c r="E6" s="58" t="s">
        <v>139</v>
      </c>
      <c r="F6" s="58" t="s">
        <v>139</v>
      </c>
      <c r="G6" s="58" t="s">
        <v>139</v>
      </c>
      <c r="H6" s="58" t="s">
        <v>139</v>
      </c>
      <c r="I6" s="58" t="s">
        <v>139</v>
      </c>
      <c r="J6" s="58" t="s">
        <v>139</v>
      </c>
      <c r="K6" s="58" t="s">
        <v>139</v>
      </c>
      <c r="L6" s="58" t="s">
        <v>336</v>
      </c>
      <c r="M6" s="231" t="s">
        <v>409</v>
      </c>
      <c r="N6" s="58" t="s">
        <v>336</v>
      </c>
      <c r="O6" s="231" t="s">
        <v>409</v>
      </c>
      <c r="P6" s="58" t="s">
        <v>336</v>
      </c>
      <c r="Q6" s="231" t="s">
        <v>140</v>
      </c>
      <c r="R6" s="58" t="s">
        <v>336</v>
      </c>
      <c r="S6" s="231" t="s">
        <v>409</v>
      </c>
    </row>
    <row r="7" spans="1:19" s="12" customFormat="1" ht="21" customHeight="1">
      <c r="A7" s="36" t="s">
        <v>4</v>
      </c>
      <c r="B7" s="59"/>
      <c r="C7" s="60"/>
      <c r="D7" s="39" t="s">
        <v>5</v>
      </c>
      <c r="E7" s="40">
        <f aca="true" t="shared" si="0" ref="E7:J7">SUM(E8,E10,)</f>
        <v>78000</v>
      </c>
      <c r="F7" s="40">
        <f t="shared" si="0"/>
        <v>0</v>
      </c>
      <c r="G7" s="40">
        <f t="shared" si="0"/>
        <v>78000</v>
      </c>
      <c r="H7" s="40">
        <f t="shared" si="0"/>
        <v>0</v>
      </c>
      <c r="I7" s="40">
        <f t="shared" si="0"/>
        <v>78000</v>
      </c>
      <c r="J7" s="40">
        <f t="shared" si="0"/>
        <v>0</v>
      </c>
      <c r="K7" s="40">
        <f aca="true" t="shared" si="1" ref="K7:Q7">SUM(K8,K10,K12)</f>
        <v>78000</v>
      </c>
      <c r="L7" s="40">
        <f t="shared" si="1"/>
        <v>0</v>
      </c>
      <c r="M7" s="40">
        <f t="shared" si="1"/>
        <v>78000</v>
      </c>
      <c r="N7" s="40">
        <f t="shared" si="1"/>
        <v>261638</v>
      </c>
      <c r="O7" s="40">
        <f t="shared" si="1"/>
        <v>339638</v>
      </c>
      <c r="P7" s="40">
        <f t="shared" si="1"/>
        <v>0</v>
      </c>
      <c r="Q7" s="40">
        <f t="shared" si="1"/>
        <v>339638</v>
      </c>
      <c r="R7" s="40">
        <f>SUM(R8,R10,R12)</f>
        <v>0</v>
      </c>
      <c r="S7" s="40">
        <f>SUM(S8,S10,S12)</f>
        <v>339638</v>
      </c>
    </row>
    <row r="8" spans="1:19" s="132" customFormat="1" ht="21" customHeight="1">
      <c r="A8" s="145"/>
      <c r="B8" s="146" t="s">
        <v>266</v>
      </c>
      <c r="C8" s="147"/>
      <c r="D8" s="148" t="s">
        <v>267</v>
      </c>
      <c r="E8" s="79">
        <f aca="true" t="shared" si="2" ref="E8:S8">SUM(E9)</f>
        <v>70000</v>
      </c>
      <c r="F8" s="79">
        <f t="shared" si="2"/>
        <v>0</v>
      </c>
      <c r="G8" s="79">
        <f t="shared" si="2"/>
        <v>70000</v>
      </c>
      <c r="H8" s="79">
        <f t="shared" si="2"/>
        <v>0</v>
      </c>
      <c r="I8" s="79">
        <f t="shared" si="2"/>
        <v>70000</v>
      </c>
      <c r="J8" s="79">
        <f t="shared" si="2"/>
        <v>0</v>
      </c>
      <c r="K8" s="79">
        <f t="shared" si="2"/>
        <v>70000</v>
      </c>
      <c r="L8" s="79">
        <f t="shared" si="2"/>
        <v>0</v>
      </c>
      <c r="M8" s="79">
        <f t="shared" si="2"/>
        <v>70000</v>
      </c>
      <c r="N8" s="79">
        <f t="shared" si="2"/>
        <v>0</v>
      </c>
      <c r="O8" s="79">
        <f t="shared" si="2"/>
        <v>70000</v>
      </c>
      <c r="P8" s="79">
        <f t="shared" si="2"/>
        <v>0</v>
      </c>
      <c r="Q8" s="79">
        <f t="shared" si="2"/>
        <v>70000</v>
      </c>
      <c r="R8" s="79">
        <f t="shared" si="2"/>
        <v>0</v>
      </c>
      <c r="S8" s="79">
        <f t="shared" si="2"/>
        <v>70000</v>
      </c>
    </row>
    <row r="9" spans="1:19" s="132" customFormat="1" ht="45">
      <c r="A9" s="145"/>
      <c r="B9" s="149"/>
      <c r="C9" s="147">
        <v>2830</v>
      </c>
      <c r="D9" s="148" t="s">
        <v>272</v>
      </c>
      <c r="E9" s="79">
        <v>70000</v>
      </c>
      <c r="F9" s="79"/>
      <c r="G9" s="79">
        <f>SUM(E9:F9)</f>
        <v>70000</v>
      </c>
      <c r="H9" s="79"/>
      <c r="I9" s="79">
        <f>SUM(G9:H9)</f>
        <v>70000</v>
      </c>
      <c r="J9" s="79"/>
      <c r="K9" s="79">
        <f>SUM(I9:J9)</f>
        <v>70000</v>
      </c>
      <c r="L9" s="79"/>
      <c r="M9" s="79">
        <f>SUM(K9:L9)</f>
        <v>70000</v>
      </c>
      <c r="N9" s="79"/>
      <c r="O9" s="79">
        <f>SUM(M9:N9)</f>
        <v>70000</v>
      </c>
      <c r="P9" s="79"/>
      <c r="Q9" s="79">
        <f>SUM(O9:P9)</f>
        <v>70000</v>
      </c>
      <c r="R9" s="79"/>
      <c r="S9" s="79">
        <f>SUM(Q9:R9)</f>
        <v>70000</v>
      </c>
    </row>
    <row r="10" spans="1:19" s="26" customFormat="1" ht="21" customHeight="1">
      <c r="A10" s="66"/>
      <c r="B10" s="80" t="s">
        <v>67</v>
      </c>
      <c r="C10" s="69"/>
      <c r="D10" s="41" t="s">
        <v>68</v>
      </c>
      <c r="E10" s="79">
        <f aca="true" t="shared" si="3" ref="E10:S10">SUM(E11)</f>
        <v>8000</v>
      </c>
      <c r="F10" s="79">
        <f t="shared" si="3"/>
        <v>0</v>
      </c>
      <c r="G10" s="79">
        <f t="shared" si="3"/>
        <v>8000</v>
      </c>
      <c r="H10" s="79">
        <f t="shared" si="3"/>
        <v>0</v>
      </c>
      <c r="I10" s="79">
        <f t="shared" si="3"/>
        <v>8000</v>
      </c>
      <c r="J10" s="79">
        <f t="shared" si="3"/>
        <v>0</v>
      </c>
      <c r="K10" s="79">
        <f t="shared" si="3"/>
        <v>8000</v>
      </c>
      <c r="L10" s="79">
        <f t="shared" si="3"/>
        <v>0</v>
      </c>
      <c r="M10" s="79">
        <f t="shared" si="3"/>
        <v>8000</v>
      </c>
      <c r="N10" s="79">
        <f t="shared" si="3"/>
        <v>0</v>
      </c>
      <c r="O10" s="79">
        <f t="shared" si="3"/>
        <v>8000</v>
      </c>
      <c r="P10" s="79">
        <f t="shared" si="3"/>
        <v>0</v>
      </c>
      <c r="Q10" s="79">
        <f t="shared" si="3"/>
        <v>8000</v>
      </c>
      <c r="R10" s="79">
        <f t="shared" si="3"/>
        <v>0</v>
      </c>
      <c r="S10" s="79">
        <f t="shared" si="3"/>
        <v>8000</v>
      </c>
    </row>
    <row r="11" spans="1:19" s="26" customFormat="1" ht="33.75">
      <c r="A11" s="81"/>
      <c r="B11" s="82"/>
      <c r="C11" s="69">
        <v>2850</v>
      </c>
      <c r="D11" s="41" t="s">
        <v>69</v>
      </c>
      <c r="E11" s="79">
        <v>8000</v>
      </c>
      <c r="F11" s="79"/>
      <c r="G11" s="79">
        <f>SUM(E11:F11)</f>
        <v>8000</v>
      </c>
      <c r="H11" s="79"/>
      <c r="I11" s="79">
        <f>SUM(G11:H11)</f>
        <v>8000</v>
      </c>
      <c r="J11" s="79"/>
      <c r="K11" s="79">
        <f>SUM(I11:J11)</f>
        <v>8000</v>
      </c>
      <c r="L11" s="79"/>
      <c r="M11" s="79">
        <f>SUM(K11:L11)</f>
        <v>8000</v>
      </c>
      <c r="N11" s="79"/>
      <c r="O11" s="79">
        <f>SUM(M11:N11)</f>
        <v>8000</v>
      </c>
      <c r="P11" s="79"/>
      <c r="Q11" s="79">
        <f>SUM(O11:P11)</f>
        <v>8000</v>
      </c>
      <c r="R11" s="79"/>
      <c r="S11" s="79">
        <f>SUM(Q11:R11)</f>
        <v>8000</v>
      </c>
    </row>
    <row r="12" spans="1:19" s="26" customFormat="1" ht="19.5" customHeight="1">
      <c r="A12" s="81"/>
      <c r="B12" s="82" t="s">
        <v>234</v>
      </c>
      <c r="C12" s="69"/>
      <c r="D12" s="41" t="s">
        <v>6</v>
      </c>
      <c r="E12" s="79"/>
      <c r="F12" s="79"/>
      <c r="G12" s="79"/>
      <c r="H12" s="79"/>
      <c r="I12" s="79"/>
      <c r="J12" s="79"/>
      <c r="K12" s="79">
        <f aca="true" t="shared" si="4" ref="K12:Q12">SUM(K13:K18)</f>
        <v>0</v>
      </c>
      <c r="L12" s="79">
        <f t="shared" si="4"/>
        <v>0</v>
      </c>
      <c r="M12" s="79">
        <f t="shared" si="4"/>
        <v>0</v>
      </c>
      <c r="N12" s="79">
        <f t="shared" si="4"/>
        <v>261638</v>
      </c>
      <c r="O12" s="79">
        <f t="shared" si="4"/>
        <v>261638</v>
      </c>
      <c r="P12" s="79">
        <f t="shared" si="4"/>
        <v>0</v>
      </c>
      <c r="Q12" s="79">
        <f t="shared" si="4"/>
        <v>261638</v>
      </c>
      <c r="R12" s="79">
        <f>SUM(R13:R18)</f>
        <v>0</v>
      </c>
      <c r="S12" s="79">
        <f>SUM(S13:S18)</f>
        <v>261638</v>
      </c>
    </row>
    <row r="13" spans="1:19" s="26" customFormat="1" ht="19.5" customHeight="1">
      <c r="A13" s="81"/>
      <c r="B13" s="82"/>
      <c r="C13" s="69">
        <v>4010</v>
      </c>
      <c r="D13" s="41" t="s">
        <v>82</v>
      </c>
      <c r="E13" s="79"/>
      <c r="F13" s="79"/>
      <c r="G13" s="79"/>
      <c r="H13" s="79"/>
      <c r="I13" s="79"/>
      <c r="J13" s="79"/>
      <c r="K13" s="79">
        <v>0</v>
      </c>
      <c r="L13" s="79"/>
      <c r="M13" s="79">
        <f aca="true" t="shared" si="5" ref="M13:M18">SUM(K13:L13)</f>
        <v>0</v>
      </c>
      <c r="N13" s="79">
        <v>3378</v>
      </c>
      <c r="O13" s="79">
        <f aca="true" t="shared" si="6" ref="O13:O18">SUM(M13:N13)</f>
        <v>3378</v>
      </c>
      <c r="P13" s="79"/>
      <c r="Q13" s="79">
        <f aca="true" t="shared" si="7" ref="Q13:Q18">SUM(O13:P13)</f>
        <v>3378</v>
      </c>
      <c r="R13" s="79"/>
      <c r="S13" s="79">
        <f aca="true" t="shared" si="8" ref="S13:S18">SUM(Q13:R13)</f>
        <v>3378</v>
      </c>
    </row>
    <row r="14" spans="1:19" s="26" customFormat="1" ht="19.5" customHeight="1">
      <c r="A14" s="81"/>
      <c r="B14" s="82"/>
      <c r="C14" s="69">
        <v>4110</v>
      </c>
      <c r="D14" s="41" t="s">
        <v>84</v>
      </c>
      <c r="E14" s="79"/>
      <c r="F14" s="79"/>
      <c r="G14" s="79"/>
      <c r="H14" s="79"/>
      <c r="I14" s="79"/>
      <c r="J14" s="79"/>
      <c r="K14" s="79">
        <v>0</v>
      </c>
      <c r="L14" s="79"/>
      <c r="M14" s="79">
        <f t="shared" si="5"/>
        <v>0</v>
      </c>
      <c r="N14" s="79">
        <v>513</v>
      </c>
      <c r="O14" s="79">
        <f t="shared" si="6"/>
        <v>513</v>
      </c>
      <c r="P14" s="79"/>
      <c r="Q14" s="79">
        <f t="shared" si="7"/>
        <v>513</v>
      </c>
      <c r="R14" s="79"/>
      <c r="S14" s="79">
        <f t="shared" si="8"/>
        <v>513</v>
      </c>
    </row>
    <row r="15" spans="1:19" s="26" customFormat="1" ht="19.5" customHeight="1">
      <c r="A15" s="81"/>
      <c r="B15" s="82"/>
      <c r="C15" s="69">
        <v>4120</v>
      </c>
      <c r="D15" s="41" t="s">
        <v>85</v>
      </c>
      <c r="E15" s="79"/>
      <c r="F15" s="79"/>
      <c r="G15" s="79"/>
      <c r="H15" s="79"/>
      <c r="I15" s="79"/>
      <c r="J15" s="79"/>
      <c r="K15" s="79">
        <v>0</v>
      </c>
      <c r="L15" s="79"/>
      <c r="M15" s="79">
        <f t="shared" si="5"/>
        <v>0</v>
      </c>
      <c r="N15" s="79">
        <v>82</v>
      </c>
      <c r="O15" s="79">
        <f t="shared" si="6"/>
        <v>82</v>
      </c>
      <c r="P15" s="79"/>
      <c r="Q15" s="79">
        <f t="shared" si="7"/>
        <v>82</v>
      </c>
      <c r="R15" s="79"/>
      <c r="S15" s="79">
        <f t="shared" si="8"/>
        <v>82</v>
      </c>
    </row>
    <row r="16" spans="1:19" s="26" customFormat="1" ht="19.5" customHeight="1">
      <c r="A16" s="81"/>
      <c r="B16" s="82"/>
      <c r="C16" s="69">
        <v>4210</v>
      </c>
      <c r="D16" s="41" t="s">
        <v>70</v>
      </c>
      <c r="E16" s="79"/>
      <c r="F16" s="79"/>
      <c r="G16" s="79"/>
      <c r="H16" s="79"/>
      <c r="I16" s="79"/>
      <c r="J16" s="79"/>
      <c r="K16" s="79">
        <v>0</v>
      </c>
      <c r="L16" s="79"/>
      <c r="M16" s="79">
        <f t="shared" si="5"/>
        <v>0</v>
      </c>
      <c r="N16" s="79">
        <v>335</v>
      </c>
      <c r="O16" s="79">
        <f t="shared" si="6"/>
        <v>335</v>
      </c>
      <c r="P16" s="79"/>
      <c r="Q16" s="79">
        <f t="shared" si="7"/>
        <v>335</v>
      </c>
      <c r="R16" s="79"/>
      <c r="S16" s="79">
        <f t="shared" si="8"/>
        <v>335</v>
      </c>
    </row>
    <row r="17" spans="1:19" s="26" customFormat="1" ht="19.5" customHeight="1">
      <c r="A17" s="81"/>
      <c r="B17" s="82"/>
      <c r="C17" s="69">
        <v>4300</v>
      </c>
      <c r="D17" s="41" t="s">
        <v>77</v>
      </c>
      <c r="E17" s="79"/>
      <c r="F17" s="79"/>
      <c r="G17" s="79"/>
      <c r="H17" s="79"/>
      <c r="I17" s="79"/>
      <c r="J17" s="79"/>
      <c r="K17" s="79">
        <v>0</v>
      </c>
      <c r="L17" s="79"/>
      <c r="M17" s="79">
        <f t="shared" si="5"/>
        <v>0</v>
      </c>
      <c r="N17" s="79">
        <v>822</v>
      </c>
      <c r="O17" s="79">
        <f t="shared" si="6"/>
        <v>822</v>
      </c>
      <c r="P17" s="79"/>
      <c r="Q17" s="79">
        <f t="shared" si="7"/>
        <v>822</v>
      </c>
      <c r="R17" s="79"/>
      <c r="S17" s="79">
        <f t="shared" si="8"/>
        <v>822</v>
      </c>
    </row>
    <row r="18" spans="1:19" s="26" customFormat="1" ht="19.5" customHeight="1">
      <c r="A18" s="81"/>
      <c r="B18" s="82"/>
      <c r="C18" s="69">
        <v>4430</v>
      </c>
      <c r="D18" s="41" t="s">
        <v>92</v>
      </c>
      <c r="E18" s="79"/>
      <c r="F18" s="79"/>
      <c r="G18" s="79"/>
      <c r="H18" s="79"/>
      <c r="I18" s="79"/>
      <c r="J18" s="79"/>
      <c r="K18" s="79">
        <v>0</v>
      </c>
      <c r="L18" s="79"/>
      <c r="M18" s="79">
        <f t="shared" si="5"/>
        <v>0</v>
      </c>
      <c r="N18" s="79">
        <v>256508</v>
      </c>
      <c r="O18" s="79">
        <f t="shared" si="6"/>
        <v>256508</v>
      </c>
      <c r="P18" s="79"/>
      <c r="Q18" s="79">
        <f t="shared" si="7"/>
        <v>256508</v>
      </c>
      <c r="R18" s="79"/>
      <c r="S18" s="79">
        <f t="shared" si="8"/>
        <v>256508</v>
      </c>
    </row>
    <row r="19" spans="1:19" s="8" customFormat="1" ht="21" customHeight="1">
      <c r="A19" s="36" t="s">
        <v>72</v>
      </c>
      <c r="B19" s="37"/>
      <c r="C19" s="38"/>
      <c r="D19" s="39" t="s">
        <v>73</v>
      </c>
      <c r="E19" s="40">
        <f aca="true" t="shared" si="9" ref="E19:K19">SUM(E20,E22)</f>
        <v>2831986</v>
      </c>
      <c r="F19" s="40">
        <f t="shared" si="9"/>
        <v>-35000</v>
      </c>
      <c r="G19" s="40">
        <f t="shared" si="9"/>
        <v>2796986</v>
      </c>
      <c r="H19" s="40">
        <f t="shared" si="9"/>
        <v>0</v>
      </c>
      <c r="I19" s="40">
        <f t="shared" si="9"/>
        <v>2796986</v>
      </c>
      <c r="J19" s="40">
        <f t="shared" si="9"/>
        <v>0</v>
      </c>
      <c r="K19" s="40">
        <f t="shared" si="9"/>
        <v>2796986</v>
      </c>
      <c r="L19" s="40">
        <f aca="true" t="shared" si="10" ref="L19:Q19">SUM(L20,L22)</f>
        <v>-6</v>
      </c>
      <c r="M19" s="40">
        <f t="shared" si="10"/>
        <v>2796980</v>
      </c>
      <c r="N19" s="40">
        <f t="shared" si="10"/>
        <v>0</v>
      </c>
      <c r="O19" s="40">
        <f t="shared" si="10"/>
        <v>2796980</v>
      </c>
      <c r="P19" s="40">
        <f t="shared" si="10"/>
        <v>150</v>
      </c>
      <c r="Q19" s="40">
        <f t="shared" si="10"/>
        <v>2797130</v>
      </c>
      <c r="R19" s="40">
        <f>SUM(R20,R22)</f>
        <v>0</v>
      </c>
      <c r="S19" s="40">
        <f>SUM(S20,S22)</f>
        <v>2797130</v>
      </c>
    </row>
    <row r="20" spans="1:19" s="132" customFormat="1" ht="18" customHeight="1">
      <c r="A20" s="145"/>
      <c r="B20" s="177">
        <v>60014</v>
      </c>
      <c r="C20" s="166"/>
      <c r="D20" s="41" t="s">
        <v>298</v>
      </c>
      <c r="E20" s="178">
        <f aca="true" t="shared" si="11" ref="E20:S20">SUM(E21)</f>
        <v>208335</v>
      </c>
      <c r="F20" s="178">
        <f t="shared" si="11"/>
        <v>0</v>
      </c>
      <c r="G20" s="178">
        <f t="shared" si="11"/>
        <v>208335</v>
      </c>
      <c r="H20" s="178">
        <f t="shared" si="11"/>
        <v>0</v>
      </c>
      <c r="I20" s="178">
        <f t="shared" si="11"/>
        <v>208335</v>
      </c>
      <c r="J20" s="178">
        <f t="shared" si="11"/>
        <v>0</v>
      </c>
      <c r="K20" s="178">
        <f t="shared" si="11"/>
        <v>208335</v>
      </c>
      <c r="L20" s="178">
        <f t="shared" si="11"/>
        <v>0</v>
      </c>
      <c r="M20" s="178">
        <f t="shared" si="11"/>
        <v>208335</v>
      </c>
      <c r="N20" s="178">
        <f t="shared" si="11"/>
        <v>0</v>
      </c>
      <c r="O20" s="178">
        <f t="shared" si="11"/>
        <v>208335</v>
      </c>
      <c r="P20" s="178">
        <f t="shared" si="11"/>
        <v>0</v>
      </c>
      <c r="Q20" s="178">
        <f t="shared" si="11"/>
        <v>208335</v>
      </c>
      <c r="R20" s="178">
        <f t="shared" si="11"/>
        <v>0</v>
      </c>
      <c r="S20" s="178">
        <f t="shared" si="11"/>
        <v>208335</v>
      </c>
    </row>
    <row r="21" spans="1:19" s="132" customFormat="1" ht="45">
      <c r="A21" s="145"/>
      <c r="B21" s="177"/>
      <c r="C21" s="145">
        <v>6300</v>
      </c>
      <c r="D21" s="148" t="s">
        <v>291</v>
      </c>
      <c r="E21" s="178">
        <v>208335</v>
      </c>
      <c r="F21" s="178"/>
      <c r="G21" s="178">
        <f>SUM(E21:F21)</f>
        <v>208335</v>
      </c>
      <c r="H21" s="178"/>
      <c r="I21" s="178">
        <f>SUM(G21:H21)</f>
        <v>208335</v>
      </c>
      <c r="J21" s="178"/>
      <c r="K21" s="178">
        <f>SUM(I21:J21)</f>
        <v>208335</v>
      </c>
      <c r="L21" s="178"/>
      <c r="M21" s="178">
        <f>SUM(K21:L21)</f>
        <v>208335</v>
      </c>
      <c r="N21" s="178"/>
      <c r="O21" s="178">
        <f>SUM(M21:N21)</f>
        <v>208335</v>
      </c>
      <c r="P21" s="178"/>
      <c r="Q21" s="178">
        <f>SUM(O21:P21)</f>
        <v>208335</v>
      </c>
      <c r="R21" s="178"/>
      <c r="S21" s="178">
        <f>SUM(Q21:R21)</f>
        <v>208335</v>
      </c>
    </row>
    <row r="22" spans="1:19" s="26" customFormat="1" ht="21" customHeight="1">
      <c r="A22" s="66"/>
      <c r="B22" s="80" t="s">
        <v>74</v>
      </c>
      <c r="C22" s="84"/>
      <c r="D22" s="41" t="s">
        <v>75</v>
      </c>
      <c r="E22" s="79">
        <f aca="true" t="shared" si="12" ref="E22:K22">SUM(E24:E27)</f>
        <v>2623651</v>
      </c>
      <c r="F22" s="79">
        <f t="shared" si="12"/>
        <v>-35000</v>
      </c>
      <c r="G22" s="79">
        <f t="shared" si="12"/>
        <v>2588651</v>
      </c>
      <c r="H22" s="79">
        <f t="shared" si="12"/>
        <v>0</v>
      </c>
      <c r="I22" s="79">
        <f t="shared" si="12"/>
        <v>2588651</v>
      </c>
      <c r="J22" s="79">
        <f t="shared" si="12"/>
        <v>0</v>
      </c>
      <c r="K22" s="79">
        <f t="shared" si="12"/>
        <v>2588651</v>
      </c>
      <c r="L22" s="79">
        <f>SUM(L24:L27)</f>
        <v>-6</v>
      </c>
      <c r="M22" s="79">
        <f>SUM(M24:M27)</f>
        <v>2588645</v>
      </c>
      <c r="N22" s="79">
        <f>SUM(N24:N27)</f>
        <v>0</v>
      </c>
      <c r="O22" s="79">
        <f>SUM(O23:O27)</f>
        <v>2588645</v>
      </c>
      <c r="P22" s="79">
        <f>SUM(P23:P27)</f>
        <v>150</v>
      </c>
      <c r="Q22" s="79">
        <f>SUM(Q23:Q27)</f>
        <v>2588795</v>
      </c>
      <c r="R22" s="79">
        <f>SUM(R23:R27)</f>
        <v>0</v>
      </c>
      <c r="S22" s="79">
        <f>SUM(S23:S27)</f>
        <v>2588795</v>
      </c>
    </row>
    <row r="23" spans="1:19" s="26" customFormat="1" ht="21" customHeight="1">
      <c r="A23" s="66"/>
      <c r="B23" s="80"/>
      <c r="C23" s="84">
        <v>3020</v>
      </c>
      <c r="D23" s="41" t="s">
        <v>190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>
        <v>0</v>
      </c>
      <c r="P23" s="79">
        <v>10000</v>
      </c>
      <c r="Q23" s="79">
        <f>SUM(O23:P23)</f>
        <v>10000</v>
      </c>
      <c r="R23" s="79"/>
      <c r="S23" s="79">
        <f>SUM(Q23:R23)</f>
        <v>10000</v>
      </c>
    </row>
    <row r="24" spans="1:19" s="26" customFormat="1" ht="21" customHeight="1">
      <c r="A24" s="66"/>
      <c r="B24" s="85"/>
      <c r="C24" s="66">
        <v>4210</v>
      </c>
      <c r="D24" s="41" t="s">
        <v>70</v>
      </c>
      <c r="E24" s="79">
        <f>17527+35291</f>
        <v>52818</v>
      </c>
      <c r="F24" s="79"/>
      <c r="G24" s="79">
        <f>SUM(E24:F24)</f>
        <v>52818</v>
      </c>
      <c r="H24" s="79"/>
      <c r="I24" s="79">
        <f>SUM(G24:H24)</f>
        <v>52818</v>
      </c>
      <c r="J24" s="79"/>
      <c r="K24" s="79">
        <f>SUM(I24:J24)</f>
        <v>52818</v>
      </c>
      <c r="L24" s="79">
        <f>-6+2328</f>
        <v>2322</v>
      </c>
      <c r="M24" s="79">
        <f>SUM(K24:L24)</f>
        <v>55140</v>
      </c>
      <c r="N24" s="79"/>
      <c r="O24" s="79">
        <f>SUM(M24:N24)</f>
        <v>55140</v>
      </c>
      <c r="P24" s="79">
        <f>-5199+150</f>
        <v>-5049</v>
      </c>
      <c r="Q24" s="79">
        <f>SUM(O24:P24)</f>
        <v>50091</v>
      </c>
      <c r="R24" s="79"/>
      <c r="S24" s="79">
        <f>SUM(Q24:R24)</f>
        <v>50091</v>
      </c>
    </row>
    <row r="25" spans="1:19" s="26" customFormat="1" ht="21" customHeight="1">
      <c r="A25" s="66"/>
      <c r="B25" s="85"/>
      <c r="C25" s="66">
        <v>4270</v>
      </c>
      <c r="D25" s="41" t="s">
        <v>76</v>
      </c>
      <c r="E25" s="79">
        <f>200000+40000+15000+1200</f>
        <v>256200</v>
      </c>
      <c r="F25" s="79">
        <v>-40000</v>
      </c>
      <c r="G25" s="79">
        <f>SUM(E25:F25)</f>
        <v>216200</v>
      </c>
      <c r="H25" s="79"/>
      <c r="I25" s="79">
        <f>SUM(G25:H25)</f>
        <v>216200</v>
      </c>
      <c r="J25" s="79"/>
      <c r="K25" s="79">
        <f>SUM(I25:J25)</f>
        <v>216200</v>
      </c>
      <c r="L25" s="79"/>
      <c r="M25" s="79">
        <f>SUM(K25:L25)</f>
        <v>216200</v>
      </c>
      <c r="N25" s="79"/>
      <c r="O25" s="79">
        <f>SUM(M25:N25)</f>
        <v>216200</v>
      </c>
      <c r="P25" s="79"/>
      <c r="Q25" s="79">
        <f>SUM(O25:P25)</f>
        <v>216200</v>
      </c>
      <c r="R25" s="79"/>
      <c r="S25" s="79">
        <f>SUM(Q25:R25)</f>
        <v>216200</v>
      </c>
    </row>
    <row r="26" spans="1:19" s="26" customFormat="1" ht="21" customHeight="1">
      <c r="A26" s="66"/>
      <c r="B26" s="85"/>
      <c r="C26" s="66">
        <v>4300</v>
      </c>
      <c r="D26" s="41" t="s">
        <v>77</v>
      </c>
      <c r="E26" s="79">
        <f>120000+50000+10000+5000+19193+21202</f>
        <v>225395</v>
      </c>
      <c r="F26" s="79">
        <v>40000</v>
      </c>
      <c r="G26" s="79">
        <f>SUM(E26:F26)</f>
        <v>265395</v>
      </c>
      <c r="H26" s="79"/>
      <c r="I26" s="79">
        <f>SUM(G26:H26)</f>
        <v>265395</v>
      </c>
      <c r="J26" s="79"/>
      <c r="K26" s="79">
        <f>SUM(I26:J26)</f>
        <v>265395</v>
      </c>
      <c r="L26" s="79">
        <v>-2328</v>
      </c>
      <c r="M26" s="79">
        <f>SUM(K26:L26)</f>
        <v>263067</v>
      </c>
      <c r="N26" s="79"/>
      <c r="O26" s="79">
        <f>SUM(M26:N26)</f>
        <v>263067</v>
      </c>
      <c r="P26" s="79">
        <f>5000-5000</f>
        <v>0</v>
      </c>
      <c r="Q26" s="79">
        <f>SUM(O26:P26)</f>
        <v>263067</v>
      </c>
      <c r="R26" s="79"/>
      <c r="S26" s="79">
        <f>SUM(Q26:R26)</f>
        <v>263067</v>
      </c>
    </row>
    <row r="27" spans="1:19" s="26" customFormat="1" ht="21" customHeight="1">
      <c r="A27" s="66"/>
      <c r="B27" s="85"/>
      <c r="C27" s="66">
        <v>6050</v>
      </c>
      <c r="D27" s="41" t="s">
        <v>71</v>
      </c>
      <c r="E27" s="79">
        <v>2089238</v>
      </c>
      <c r="F27" s="79">
        <f>-200000-270000-550000-200000-150000+790000+10000+535000</f>
        <v>-35000</v>
      </c>
      <c r="G27" s="79">
        <f>SUM(E27:F27)</f>
        <v>2054238</v>
      </c>
      <c r="H27" s="79"/>
      <c r="I27" s="79">
        <f>SUM(G27:H27)</f>
        <v>2054238</v>
      </c>
      <c r="J27" s="79"/>
      <c r="K27" s="79">
        <f>SUM(I27:J27)</f>
        <v>2054238</v>
      </c>
      <c r="L27" s="79"/>
      <c r="M27" s="79">
        <f>SUM(K27:L27)</f>
        <v>2054238</v>
      </c>
      <c r="N27" s="79"/>
      <c r="O27" s="79">
        <f>SUM(M27:N27)</f>
        <v>2054238</v>
      </c>
      <c r="P27" s="79">
        <f>5199-10000</f>
        <v>-4801</v>
      </c>
      <c r="Q27" s="79">
        <f>SUM(O27:P27)</f>
        <v>2049437</v>
      </c>
      <c r="R27" s="79"/>
      <c r="S27" s="79">
        <f>SUM(Q27:R27)</f>
        <v>2049437</v>
      </c>
    </row>
    <row r="28" spans="1:19" s="8" customFormat="1" ht="21" customHeight="1">
      <c r="A28" s="36" t="s">
        <v>8</v>
      </c>
      <c r="B28" s="37"/>
      <c r="C28" s="38"/>
      <c r="D28" s="39" t="s">
        <v>9</v>
      </c>
      <c r="E28" s="40">
        <f aca="true" t="shared" si="13" ref="E28:K28">SUM(E29,E31,E43)</f>
        <v>2493896</v>
      </c>
      <c r="F28" s="40">
        <f t="shared" si="13"/>
        <v>0</v>
      </c>
      <c r="G28" s="40">
        <f t="shared" si="13"/>
        <v>2493896</v>
      </c>
      <c r="H28" s="40">
        <f t="shared" si="13"/>
        <v>0</v>
      </c>
      <c r="I28" s="40">
        <f t="shared" si="13"/>
        <v>2493896</v>
      </c>
      <c r="J28" s="40">
        <f t="shared" si="13"/>
        <v>0</v>
      </c>
      <c r="K28" s="40">
        <f t="shared" si="13"/>
        <v>2493896</v>
      </c>
      <c r="L28" s="40">
        <f aca="true" t="shared" si="14" ref="L28:Q28">SUM(L29,L31,L43)</f>
        <v>3</v>
      </c>
      <c r="M28" s="40">
        <f t="shared" si="14"/>
        <v>2493899</v>
      </c>
      <c r="N28" s="40">
        <f t="shared" si="14"/>
        <v>0</v>
      </c>
      <c r="O28" s="40">
        <f t="shared" si="14"/>
        <v>2493899</v>
      </c>
      <c r="P28" s="40">
        <f t="shared" si="14"/>
        <v>0</v>
      </c>
      <c r="Q28" s="40">
        <f t="shared" si="14"/>
        <v>2493899</v>
      </c>
      <c r="R28" s="40">
        <f>SUM(R29,R31,R43)</f>
        <v>0</v>
      </c>
      <c r="S28" s="40">
        <f>SUM(S29,S31,S43)</f>
        <v>2493899</v>
      </c>
    </row>
    <row r="29" spans="1:19" s="26" customFormat="1" ht="21" customHeight="1">
      <c r="A29" s="66"/>
      <c r="B29" s="85">
        <v>70004</v>
      </c>
      <c r="C29" s="84"/>
      <c r="D29" s="41" t="s">
        <v>199</v>
      </c>
      <c r="E29" s="79">
        <f aca="true" t="shared" si="15" ref="E29:S29">SUM(E30)</f>
        <v>30000</v>
      </c>
      <c r="F29" s="79">
        <f t="shared" si="15"/>
        <v>0</v>
      </c>
      <c r="G29" s="79">
        <f t="shared" si="15"/>
        <v>30000</v>
      </c>
      <c r="H29" s="79">
        <f t="shared" si="15"/>
        <v>0</v>
      </c>
      <c r="I29" s="79">
        <f t="shared" si="15"/>
        <v>30000</v>
      </c>
      <c r="J29" s="79">
        <f t="shared" si="15"/>
        <v>0</v>
      </c>
      <c r="K29" s="79">
        <f t="shared" si="15"/>
        <v>30000</v>
      </c>
      <c r="L29" s="79">
        <f t="shared" si="15"/>
        <v>0</v>
      </c>
      <c r="M29" s="79">
        <f t="shared" si="15"/>
        <v>30000</v>
      </c>
      <c r="N29" s="79">
        <f t="shared" si="15"/>
        <v>0</v>
      </c>
      <c r="O29" s="79">
        <f t="shared" si="15"/>
        <v>30000</v>
      </c>
      <c r="P29" s="79">
        <f t="shared" si="15"/>
        <v>0</v>
      </c>
      <c r="Q29" s="79">
        <f t="shared" si="15"/>
        <v>30000</v>
      </c>
      <c r="R29" s="79">
        <f t="shared" si="15"/>
        <v>0</v>
      </c>
      <c r="S29" s="79">
        <f t="shared" si="15"/>
        <v>30000</v>
      </c>
    </row>
    <row r="30" spans="1:19" s="26" customFormat="1" ht="21" customHeight="1">
      <c r="A30" s="66"/>
      <c r="B30" s="85"/>
      <c r="C30" s="84">
        <v>4300</v>
      </c>
      <c r="D30" s="41" t="s">
        <v>77</v>
      </c>
      <c r="E30" s="79">
        <v>30000</v>
      </c>
      <c r="F30" s="79"/>
      <c r="G30" s="79">
        <f>SUM(E30:F30)</f>
        <v>30000</v>
      </c>
      <c r="H30" s="79"/>
      <c r="I30" s="79">
        <f>SUM(G30:H30)</f>
        <v>30000</v>
      </c>
      <c r="J30" s="79"/>
      <c r="K30" s="79">
        <f>SUM(I30:J30)</f>
        <v>30000</v>
      </c>
      <c r="L30" s="79"/>
      <c r="M30" s="79">
        <f>SUM(K30:L30)</f>
        <v>30000</v>
      </c>
      <c r="N30" s="79"/>
      <c r="O30" s="79">
        <f>SUM(M30:N30)</f>
        <v>30000</v>
      </c>
      <c r="P30" s="79"/>
      <c r="Q30" s="79">
        <f>SUM(O30:P30)</f>
        <v>30000</v>
      </c>
      <c r="R30" s="79"/>
      <c r="S30" s="79">
        <f>SUM(Q30:R30)</f>
        <v>30000</v>
      </c>
    </row>
    <row r="31" spans="1:19" s="26" customFormat="1" ht="21" customHeight="1">
      <c r="A31" s="66"/>
      <c r="B31" s="80" t="s">
        <v>10</v>
      </c>
      <c r="C31" s="84"/>
      <c r="D31" s="41" t="s">
        <v>146</v>
      </c>
      <c r="E31" s="79">
        <f aca="true" t="shared" si="16" ref="E31:K31">SUM(E32:E42)</f>
        <v>2163316</v>
      </c>
      <c r="F31" s="79">
        <f t="shared" si="16"/>
        <v>0</v>
      </c>
      <c r="G31" s="79">
        <f t="shared" si="16"/>
        <v>2163316</v>
      </c>
      <c r="H31" s="79">
        <f t="shared" si="16"/>
        <v>0</v>
      </c>
      <c r="I31" s="79">
        <f t="shared" si="16"/>
        <v>2163316</v>
      </c>
      <c r="J31" s="79">
        <f t="shared" si="16"/>
        <v>0</v>
      </c>
      <c r="K31" s="79">
        <f t="shared" si="16"/>
        <v>2163316</v>
      </c>
      <c r="L31" s="79">
        <f aca="true" t="shared" si="17" ref="L31:Q31">SUM(L32:L42)</f>
        <v>0</v>
      </c>
      <c r="M31" s="79">
        <f t="shared" si="17"/>
        <v>2163316</v>
      </c>
      <c r="N31" s="79">
        <f t="shared" si="17"/>
        <v>0</v>
      </c>
      <c r="O31" s="79">
        <f t="shared" si="17"/>
        <v>2163316</v>
      </c>
      <c r="P31" s="79">
        <f t="shared" si="17"/>
        <v>0</v>
      </c>
      <c r="Q31" s="79">
        <f t="shared" si="17"/>
        <v>2163316</v>
      </c>
      <c r="R31" s="79">
        <f>SUM(R32:R42)</f>
        <v>0</v>
      </c>
      <c r="S31" s="79">
        <f>SUM(S32:S42)</f>
        <v>2163316</v>
      </c>
    </row>
    <row r="32" spans="1:19" s="26" customFormat="1" ht="21" customHeight="1">
      <c r="A32" s="66"/>
      <c r="B32" s="80"/>
      <c r="C32" s="84">
        <v>4210</v>
      </c>
      <c r="D32" s="41" t="s">
        <v>70</v>
      </c>
      <c r="E32" s="79">
        <f>30000+44000</f>
        <v>74000</v>
      </c>
      <c r="F32" s="79"/>
      <c r="G32" s="79">
        <f>SUM(E32:F32)</f>
        <v>74000</v>
      </c>
      <c r="H32" s="79"/>
      <c r="I32" s="79">
        <f>SUM(G32:H32)</f>
        <v>74000</v>
      </c>
      <c r="J32" s="79"/>
      <c r="K32" s="79">
        <f>SUM(I32:J32)</f>
        <v>74000</v>
      </c>
      <c r="L32" s="79"/>
      <c r="M32" s="79">
        <f>SUM(K32:L32)</f>
        <v>74000</v>
      </c>
      <c r="N32" s="79"/>
      <c r="O32" s="79">
        <f>SUM(M32:N32)</f>
        <v>74000</v>
      </c>
      <c r="P32" s="79"/>
      <c r="Q32" s="79">
        <f>SUM(O32:P32)</f>
        <v>74000</v>
      </c>
      <c r="R32" s="79"/>
      <c r="S32" s="79">
        <f>SUM(Q32:R32)</f>
        <v>74000</v>
      </c>
    </row>
    <row r="33" spans="1:19" s="26" customFormat="1" ht="21" customHeight="1">
      <c r="A33" s="66"/>
      <c r="B33" s="80"/>
      <c r="C33" s="84">
        <v>4260</v>
      </c>
      <c r="D33" s="41" t="s">
        <v>93</v>
      </c>
      <c r="E33" s="79">
        <f>25000+15000+15000+22000</f>
        <v>77000</v>
      </c>
      <c r="F33" s="79"/>
      <c r="G33" s="79">
        <f aca="true" t="shared" si="18" ref="G33:G42">SUM(E33:F33)</f>
        <v>77000</v>
      </c>
      <c r="H33" s="79"/>
      <c r="I33" s="79">
        <f aca="true" t="shared" si="19" ref="I33:I42">SUM(G33:H33)</f>
        <v>77000</v>
      </c>
      <c r="J33" s="79"/>
      <c r="K33" s="79">
        <f aca="true" t="shared" si="20" ref="K33:K42">SUM(I33:J33)</f>
        <v>77000</v>
      </c>
      <c r="L33" s="79"/>
      <c r="M33" s="79">
        <f aca="true" t="shared" si="21" ref="M33:M42">SUM(K33:L33)</f>
        <v>77000</v>
      </c>
      <c r="N33" s="79"/>
      <c r="O33" s="79">
        <f aca="true" t="shared" si="22" ref="O33:O42">SUM(M33:N33)</f>
        <v>77000</v>
      </c>
      <c r="P33" s="79"/>
      <c r="Q33" s="79">
        <f aca="true" t="shared" si="23" ref="Q33:Q42">SUM(O33:P33)</f>
        <v>77000</v>
      </c>
      <c r="R33" s="79"/>
      <c r="S33" s="79">
        <f aca="true" t="shared" si="24" ref="S33:S42">SUM(Q33:R33)</f>
        <v>77000</v>
      </c>
    </row>
    <row r="34" spans="1:19" s="163" customFormat="1" ht="21" customHeight="1">
      <c r="A34" s="66"/>
      <c r="B34" s="80"/>
      <c r="C34" s="84">
        <v>4270</v>
      </c>
      <c r="D34" s="41" t="s">
        <v>76</v>
      </c>
      <c r="E34" s="79">
        <f>1200000-250000-150000-40110</f>
        <v>759890</v>
      </c>
      <c r="F34" s="79"/>
      <c r="G34" s="79">
        <f t="shared" si="18"/>
        <v>759890</v>
      </c>
      <c r="H34" s="79"/>
      <c r="I34" s="79">
        <f t="shared" si="19"/>
        <v>759890</v>
      </c>
      <c r="J34" s="79"/>
      <c r="K34" s="79">
        <f t="shared" si="20"/>
        <v>759890</v>
      </c>
      <c r="L34" s="79"/>
      <c r="M34" s="79">
        <f t="shared" si="21"/>
        <v>759890</v>
      </c>
      <c r="N34" s="79"/>
      <c r="O34" s="79">
        <f t="shared" si="22"/>
        <v>759890</v>
      </c>
      <c r="P34" s="79"/>
      <c r="Q34" s="79">
        <f t="shared" si="23"/>
        <v>759890</v>
      </c>
      <c r="R34" s="79"/>
      <c r="S34" s="79">
        <f t="shared" si="24"/>
        <v>759890</v>
      </c>
    </row>
    <row r="35" spans="1:19" s="26" customFormat="1" ht="21" customHeight="1">
      <c r="A35" s="66"/>
      <c r="B35" s="85"/>
      <c r="C35" s="66">
        <v>4300</v>
      </c>
      <c r="D35" s="41" t="s">
        <v>77</v>
      </c>
      <c r="E35" s="79">
        <f>3500+32000+12000+5000+40000+80000+16000+60000+1045</f>
        <v>249545</v>
      </c>
      <c r="F35" s="79"/>
      <c r="G35" s="79">
        <f t="shared" si="18"/>
        <v>249545</v>
      </c>
      <c r="H35" s="79"/>
      <c r="I35" s="79">
        <f t="shared" si="19"/>
        <v>249545</v>
      </c>
      <c r="J35" s="79"/>
      <c r="K35" s="79">
        <f t="shared" si="20"/>
        <v>249545</v>
      </c>
      <c r="L35" s="79"/>
      <c r="M35" s="79">
        <f t="shared" si="21"/>
        <v>249545</v>
      </c>
      <c r="N35" s="79"/>
      <c r="O35" s="79">
        <f t="shared" si="22"/>
        <v>249545</v>
      </c>
      <c r="P35" s="79"/>
      <c r="Q35" s="79">
        <f t="shared" si="23"/>
        <v>249545</v>
      </c>
      <c r="R35" s="79"/>
      <c r="S35" s="79">
        <f t="shared" si="24"/>
        <v>249545</v>
      </c>
    </row>
    <row r="36" spans="1:19" s="26" customFormat="1" ht="22.5">
      <c r="A36" s="66"/>
      <c r="B36" s="85"/>
      <c r="C36" s="66">
        <v>4400</v>
      </c>
      <c r="D36" s="41" t="s">
        <v>233</v>
      </c>
      <c r="E36" s="79">
        <f>38000+12000+350000+200000+210000</f>
        <v>810000</v>
      </c>
      <c r="F36" s="79"/>
      <c r="G36" s="79">
        <f t="shared" si="18"/>
        <v>810000</v>
      </c>
      <c r="H36" s="79"/>
      <c r="I36" s="79">
        <f t="shared" si="19"/>
        <v>810000</v>
      </c>
      <c r="J36" s="79"/>
      <c r="K36" s="79">
        <f t="shared" si="20"/>
        <v>810000</v>
      </c>
      <c r="L36" s="79"/>
      <c r="M36" s="79">
        <f t="shared" si="21"/>
        <v>810000</v>
      </c>
      <c r="N36" s="79"/>
      <c r="O36" s="79">
        <f t="shared" si="22"/>
        <v>810000</v>
      </c>
      <c r="P36" s="79"/>
      <c r="Q36" s="79">
        <f t="shared" si="23"/>
        <v>810000</v>
      </c>
      <c r="R36" s="79"/>
      <c r="S36" s="79">
        <f t="shared" si="24"/>
        <v>810000</v>
      </c>
    </row>
    <row r="37" spans="1:19" s="26" customFormat="1" ht="21.75" customHeight="1">
      <c r="A37" s="66"/>
      <c r="B37" s="85"/>
      <c r="C37" s="66">
        <v>4430</v>
      </c>
      <c r="D37" s="41" t="s">
        <v>92</v>
      </c>
      <c r="E37" s="79">
        <f>10000+50000+2451-40000</f>
        <v>22451</v>
      </c>
      <c r="F37" s="79"/>
      <c r="G37" s="79">
        <f t="shared" si="18"/>
        <v>22451</v>
      </c>
      <c r="H37" s="79"/>
      <c r="I37" s="79">
        <f t="shared" si="19"/>
        <v>22451</v>
      </c>
      <c r="J37" s="79"/>
      <c r="K37" s="79">
        <f t="shared" si="20"/>
        <v>22451</v>
      </c>
      <c r="L37" s="79"/>
      <c r="M37" s="79">
        <f t="shared" si="21"/>
        <v>22451</v>
      </c>
      <c r="N37" s="79"/>
      <c r="O37" s="79">
        <f t="shared" si="22"/>
        <v>22451</v>
      </c>
      <c r="P37" s="79"/>
      <c r="Q37" s="79">
        <f t="shared" si="23"/>
        <v>22451</v>
      </c>
      <c r="R37" s="79"/>
      <c r="S37" s="79">
        <f t="shared" si="24"/>
        <v>22451</v>
      </c>
    </row>
    <row r="38" spans="1:19" s="26" customFormat="1" ht="21" customHeight="1">
      <c r="A38" s="66"/>
      <c r="B38" s="85"/>
      <c r="C38" s="66">
        <v>4480</v>
      </c>
      <c r="D38" s="41" t="s">
        <v>31</v>
      </c>
      <c r="E38" s="79">
        <v>58000</v>
      </c>
      <c r="F38" s="79"/>
      <c r="G38" s="79">
        <f t="shared" si="18"/>
        <v>58000</v>
      </c>
      <c r="H38" s="79"/>
      <c r="I38" s="79">
        <f t="shared" si="19"/>
        <v>58000</v>
      </c>
      <c r="J38" s="79"/>
      <c r="K38" s="79">
        <f t="shared" si="20"/>
        <v>58000</v>
      </c>
      <c r="L38" s="79"/>
      <c r="M38" s="79">
        <f t="shared" si="21"/>
        <v>58000</v>
      </c>
      <c r="N38" s="79"/>
      <c r="O38" s="79">
        <f t="shared" si="22"/>
        <v>58000</v>
      </c>
      <c r="P38" s="79"/>
      <c r="Q38" s="79">
        <f t="shared" si="23"/>
        <v>58000</v>
      </c>
      <c r="R38" s="79"/>
      <c r="S38" s="79">
        <f t="shared" si="24"/>
        <v>58000</v>
      </c>
    </row>
    <row r="39" spans="1:19" s="26" customFormat="1" ht="22.5">
      <c r="A39" s="66"/>
      <c r="B39" s="85"/>
      <c r="C39" s="66">
        <v>4500</v>
      </c>
      <c r="D39" s="41" t="s">
        <v>293</v>
      </c>
      <c r="E39" s="79">
        <v>1743</v>
      </c>
      <c r="F39" s="79"/>
      <c r="G39" s="79">
        <f t="shared" si="18"/>
        <v>1743</v>
      </c>
      <c r="H39" s="79"/>
      <c r="I39" s="79">
        <f t="shared" si="19"/>
        <v>1743</v>
      </c>
      <c r="J39" s="79"/>
      <c r="K39" s="79">
        <f t="shared" si="20"/>
        <v>1743</v>
      </c>
      <c r="L39" s="79"/>
      <c r="M39" s="79">
        <f t="shared" si="21"/>
        <v>1743</v>
      </c>
      <c r="N39" s="79"/>
      <c r="O39" s="79">
        <f t="shared" si="22"/>
        <v>1743</v>
      </c>
      <c r="P39" s="79"/>
      <c r="Q39" s="79">
        <f t="shared" si="23"/>
        <v>1743</v>
      </c>
      <c r="R39" s="79"/>
      <c r="S39" s="79">
        <f t="shared" si="24"/>
        <v>1743</v>
      </c>
    </row>
    <row r="40" spans="1:19" s="26" customFormat="1" ht="21" customHeight="1">
      <c r="A40" s="66"/>
      <c r="B40" s="85"/>
      <c r="C40" s="84">
        <v>4510</v>
      </c>
      <c r="D40" s="41" t="s">
        <v>143</v>
      </c>
      <c r="E40" s="79">
        <v>1447</v>
      </c>
      <c r="F40" s="79"/>
      <c r="G40" s="79">
        <f t="shared" si="18"/>
        <v>1447</v>
      </c>
      <c r="H40" s="79"/>
      <c r="I40" s="79">
        <f t="shared" si="19"/>
        <v>1447</v>
      </c>
      <c r="J40" s="79"/>
      <c r="K40" s="79">
        <f t="shared" si="20"/>
        <v>1447</v>
      </c>
      <c r="L40" s="79"/>
      <c r="M40" s="79">
        <f t="shared" si="21"/>
        <v>1447</v>
      </c>
      <c r="N40" s="79"/>
      <c r="O40" s="79">
        <f t="shared" si="22"/>
        <v>1447</v>
      </c>
      <c r="P40" s="79"/>
      <c r="Q40" s="79">
        <f t="shared" si="23"/>
        <v>1447</v>
      </c>
      <c r="R40" s="79"/>
      <c r="S40" s="79">
        <f t="shared" si="24"/>
        <v>1447</v>
      </c>
    </row>
    <row r="41" spans="1:19" s="26" customFormat="1" ht="22.5">
      <c r="A41" s="66"/>
      <c r="B41" s="85"/>
      <c r="C41" s="84">
        <v>4610</v>
      </c>
      <c r="D41" s="41" t="s">
        <v>180</v>
      </c>
      <c r="E41" s="79">
        <f>24240+40000</f>
        <v>64240</v>
      </c>
      <c r="F41" s="79"/>
      <c r="G41" s="79">
        <f t="shared" si="18"/>
        <v>64240</v>
      </c>
      <c r="H41" s="79"/>
      <c r="I41" s="79">
        <f t="shared" si="19"/>
        <v>64240</v>
      </c>
      <c r="J41" s="79"/>
      <c r="K41" s="79">
        <f t="shared" si="20"/>
        <v>64240</v>
      </c>
      <c r="L41" s="79"/>
      <c r="M41" s="79">
        <f t="shared" si="21"/>
        <v>64240</v>
      </c>
      <c r="N41" s="79"/>
      <c r="O41" s="79">
        <f t="shared" si="22"/>
        <v>64240</v>
      </c>
      <c r="P41" s="79"/>
      <c r="Q41" s="79">
        <f t="shared" si="23"/>
        <v>64240</v>
      </c>
      <c r="R41" s="79"/>
      <c r="S41" s="79">
        <f t="shared" si="24"/>
        <v>64240</v>
      </c>
    </row>
    <row r="42" spans="1:19" s="163" customFormat="1" ht="21" customHeight="1">
      <c r="A42" s="170"/>
      <c r="B42" s="171"/>
      <c r="C42" s="84">
        <v>6050</v>
      </c>
      <c r="D42" s="41" t="s">
        <v>71</v>
      </c>
      <c r="E42" s="79">
        <v>45000</v>
      </c>
      <c r="F42" s="79"/>
      <c r="G42" s="79">
        <f t="shared" si="18"/>
        <v>45000</v>
      </c>
      <c r="H42" s="79"/>
      <c r="I42" s="79">
        <f t="shared" si="19"/>
        <v>45000</v>
      </c>
      <c r="J42" s="79"/>
      <c r="K42" s="79">
        <f t="shared" si="20"/>
        <v>45000</v>
      </c>
      <c r="L42" s="79"/>
      <c r="M42" s="79">
        <f t="shared" si="21"/>
        <v>45000</v>
      </c>
      <c r="N42" s="79"/>
      <c r="O42" s="79">
        <f t="shared" si="22"/>
        <v>45000</v>
      </c>
      <c r="P42" s="79"/>
      <c r="Q42" s="79">
        <f t="shared" si="23"/>
        <v>45000</v>
      </c>
      <c r="R42" s="79"/>
      <c r="S42" s="79">
        <f t="shared" si="24"/>
        <v>45000</v>
      </c>
    </row>
    <row r="43" spans="1:19" s="26" customFormat="1" ht="21" customHeight="1">
      <c r="A43" s="66"/>
      <c r="B43" s="80">
        <v>70095</v>
      </c>
      <c r="C43" s="84"/>
      <c r="D43" s="41" t="s">
        <v>6</v>
      </c>
      <c r="E43" s="79">
        <f aca="true" t="shared" si="25" ref="E43:K43">SUM(E44:E46)</f>
        <v>300580</v>
      </c>
      <c r="F43" s="79">
        <f t="shared" si="25"/>
        <v>0</v>
      </c>
      <c r="G43" s="79">
        <f t="shared" si="25"/>
        <v>300580</v>
      </c>
      <c r="H43" s="79">
        <f t="shared" si="25"/>
        <v>0</v>
      </c>
      <c r="I43" s="79">
        <f t="shared" si="25"/>
        <v>300580</v>
      </c>
      <c r="J43" s="79">
        <f t="shared" si="25"/>
        <v>0</v>
      </c>
      <c r="K43" s="79">
        <f t="shared" si="25"/>
        <v>300580</v>
      </c>
      <c r="L43" s="79">
        <f aca="true" t="shared" si="26" ref="L43:Q43">SUM(L44:L46)</f>
        <v>3</v>
      </c>
      <c r="M43" s="79">
        <f t="shared" si="26"/>
        <v>300583</v>
      </c>
      <c r="N43" s="79">
        <f t="shared" si="26"/>
        <v>0</v>
      </c>
      <c r="O43" s="79">
        <f t="shared" si="26"/>
        <v>300583</v>
      </c>
      <c r="P43" s="79">
        <f t="shared" si="26"/>
        <v>0</v>
      </c>
      <c r="Q43" s="79">
        <f t="shared" si="26"/>
        <v>300583</v>
      </c>
      <c r="R43" s="79">
        <f>SUM(R44:R46)</f>
        <v>0</v>
      </c>
      <c r="S43" s="79">
        <f>SUM(S44:S46)</f>
        <v>300583</v>
      </c>
    </row>
    <row r="44" spans="1:19" s="26" customFormat="1" ht="21" customHeight="1">
      <c r="A44" s="66"/>
      <c r="B44" s="80"/>
      <c r="C44" s="84">
        <v>4260</v>
      </c>
      <c r="D44" s="41" t="s">
        <v>93</v>
      </c>
      <c r="E44" s="79">
        <v>500</v>
      </c>
      <c r="F44" s="79"/>
      <c r="G44" s="79">
        <f>SUM(E44:F44)</f>
        <v>500</v>
      </c>
      <c r="H44" s="79"/>
      <c r="I44" s="79">
        <f>SUM(G44:H44)</f>
        <v>500</v>
      </c>
      <c r="J44" s="79"/>
      <c r="K44" s="79">
        <f>SUM(I44:J44)</f>
        <v>500</v>
      </c>
      <c r="L44" s="79"/>
      <c r="M44" s="79">
        <f>SUM(K44:L44)</f>
        <v>500</v>
      </c>
      <c r="N44" s="79"/>
      <c r="O44" s="79">
        <f>SUM(M44:N44)</f>
        <v>500</v>
      </c>
      <c r="P44" s="79"/>
      <c r="Q44" s="79">
        <f>SUM(O44:P44)</f>
        <v>500</v>
      </c>
      <c r="R44" s="79"/>
      <c r="S44" s="79">
        <f>SUM(Q44:R44)</f>
        <v>500</v>
      </c>
    </row>
    <row r="45" spans="1:19" s="26" customFormat="1" ht="21" customHeight="1">
      <c r="A45" s="66"/>
      <c r="B45" s="80"/>
      <c r="C45" s="84">
        <v>4300</v>
      </c>
      <c r="D45" s="41" t="s">
        <v>77</v>
      </c>
      <c r="E45" s="79">
        <v>80</v>
      </c>
      <c r="F45" s="79"/>
      <c r="G45" s="79">
        <f>SUM(E45:F45)</f>
        <v>80</v>
      </c>
      <c r="H45" s="79"/>
      <c r="I45" s="79">
        <f>SUM(G45:H45)</f>
        <v>80</v>
      </c>
      <c r="J45" s="79"/>
      <c r="K45" s="79">
        <f>SUM(I45:J45)</f>
        <v>80</v>
      </c>
      <c r="L45" s="79">
        <v>3</v>
      </c>
      <c r="M45" s="79">
        <f>SUM(K45:L45)</f>
        <v>83</v>
      </c>
      <c r="N45" s="79"/>
      <c r="O45" s="79">
        <f>SUM(M45:N45)</f>
        <v>83</v>
      </c>
      <c r="P45" s="79"/>
      <c r="Q45" s="79">
        <f>SUM(O45:P45)</f>
        <v>83</v>
      </c>
      <c r="R45" s="79"/>
      <c r="S45" s="79">
        <f>SUM(Q45:R45)</f>
        <v>83</v>
      </c>
    </row>
    <row r="46" spans="1:19" s="26" customFormat="1" ht="21" customHeight="1">
      <c r="A46" s="66"/>
      <c r="B46" s="80"/>
      <c r="C46" s="66">
        <v>6050</v>
      </c>
      <c r="D46" s="41" t="s">
        <v>71</v>
      </c>
      <c r="E46" s="79">
        <f>400000-100000</f>
        <v>300000</v>
      </c>
      <c r="F46" s="79"/>
      <c r="G46" s="79">
        <f>SUM(E46:F46)</f>
        <v>300000</v>
      </c>
      <c r="H46" s="79"/>
      <c r="I46" s="79">
        <f>SUM(G46:H46)</f>
        <v>300000</v>
      </c>
      <c r="J46" s="79"/>
      <c r="K46" s="79">
        <f>SUM(I46:J46)</f>
        <v>300000</v>
      </c>
      <c r="L46" s="79"/>
      <c r="M46" s="79">
        <f>SUM(K46:L46)</f>
        <v>300000</v>
      </c>
      <c r="N46" s="79"/>
      <c r="O46" s="79">
        <f>SUM(M46:N46)</f>
        <v>300000</v>
      </c>
      <c r="P46" s="79"/>
      <c r="Q46" s="79">
        <f>SUM(O46:P46)</f>
        <v>300000</v>
      </c>
      <c r="R46" s="79"/>
      <c r="S46" s="79">
        <f>SUM(Q46:R46)</f>
        <v>300000</v>
      </c>
    </row>
    <row r="47" spans="1:19" s="8" customFormat="1" ht="21" customHeight="1">
      <c r="A47" s="36" t="s">
        <v>13</v>
      </c>
      <c r="B47" s="37"/>
      <c r="C47" s="38"/>
      <c r="D47" s="39" t="s">
        <v>78</v>
      </c>
      <c r="E47" s="40">
        <f aca="true" t="shared" si="27" ref="E47:K47">SUM(E48,E51)</f>
        <v>346250</v>
      </c>
      <c r="F47" s="40">
        <f t="shared" si="27"/>
        <v>50000</v>
      </c>
      <c r="G47" s="40">
        <f t="shared" si="27"/>
        <v>396250</v>
      </c>
      <c r="H47" s="40">
        <f t="shared" si="27"/>
        <v>0</v>
      </c>
      <c r="I47" s="40">
        <f t="shared" si="27"/>
        <v>396250</v>
      </c>
      <c r="J47" s="40">
        <f t="shared" si="27"/>
        <v>0</v>
      </c>
      <c r="K47" s="40">
        <f t="shared" si="27"/>
        <v>396250</v>
      </c>
      <c r="L47" s="40">
        <f aca="true" t="shared" si="28" ref="L47:Q47">SUM(L48,L51)</f>
        <v>0</v>
      </c>
      <c r="M47" s="40">
        <f t="shared" si="28"/>
        <v>396250</v>
      </c>
      <c r="N47" s="40">
        <f t="shared" si="28"/>
        <v>0</v>
      </c>
      <c r="O47" s="40">
        <f t="shared" si="28"/>
        <v>396250</v>
      </c>
      <c r="P47" s="40">
        <f t="shared" si="28"/>
        <v>0</v>
      </c>
      <c r="Q47" s="40">
        <f t="shared" si="28"/>
        <v>396250</v>
      </c>
      <c r="R47" s="40">
        <f>SUM(R48,R51)</f>
        <v>0</v>
      </c>
      <c r="S47" s="40">
        <f>SUM(S48,S51)</f>
        <v>396250</v>
      </c>
    </row>
    <row r="48" spans="1:19" s="26" customFormat="1" ht="21" customHeight="1">
      <c r="A48" s="66"/>
      <c r="B48" s="80" t="s">
        <v>79</v>
      </c>
      <c r="C48" s="84"/>
      <c r="D48" s="41" t="s">
        <v>80</v>
      </c>
      <c r="E48" s="79">
        <f aca="true" t="shared" si="29" ref="E48:K48">SUM(E49:E50)</f>
        <v>200000</v>
      </c>
      <c r="F48" s="79">
        <f t="shared" si="29"/>
        <v>50000</v>
      </c>
      <c r="G48" s="79">
        <f t="shared" si="29"/>
        <v>250000</v>
      </c>
      <c r="H48" s="79">
        <f t="shared" si="29"/>
        <v>0</v>
      </c>
      <c r="I48" s="79">
        <f t="shared" si="29"/>
        <v>250000</v>
      </c>
      <c r="J48" s="79">
        <f t="shared" si="29"/>
        <v>0</v>
      </c>
      <c r="K48" s="79">
        <f t="shared" si="29"/>
        <v>250000</v>
      </c>
      <c r="L48" s="79">
        <f aca="true" t="shared" si="30" ref="L48:Q48">SUM(L49:L50)</f>
        <v>0</v>
      </c>
      <c r="M48" s="79">
        <f t="shared" si="30"/>
        <v>250000</v>
      </c>
      <c r="N48" s="79">
        <f t="shared" si="30"/>
        <v>0</v>
      </c>
      <c r="O48" s="79">
        <f t="shared" si="30"/>
        <v>250000</v>
      </c>
      <c r="P48" s="79">
        <f t="shared" si="30"/>
        <v>0</v>
      </c>
      <c r="Q48" s="79">
        <f t="shared" si="30"/>
        <v>250000</v>
      </c>
      <c r="R48" s="79">
        <f>SUM(R49:R50)</f>
        <v>0</v>
      </c>
      <c r="S48" s="79">
        <f>SUM(S49:S50)</f>
        <v>250000</v>
      </c>
    </row>
    <row r="49" spans="1:19" s="26" customFormat="1" ht="21" customHeight="1">
      <c r="A49" s="66"/>
      <c r="B49" s="80"/>
      <c r="C49" s="84">
        <v>4170</v>
      </c>
      <c r="D49" s="41" t="s">
        <v>193</v>
      </c>
      <c r="E49" s="79">
        <v>20000</v>
      </c>
      <c r="F49" s="79"/>
      <c r="G49" s="79">
        <f>SUM(E49:F49)</f>
        <v>20000</v>
      </c>
      <c r="H49" s="79"/>
      <c r="I49" s="79">
        <f>SUM(G49:H49)</f>
        <v>20000</v>
      </c>
      <c r="J49" s="79"/>
      <c r="K49" s="79">
        <f>SUM(I49:J49)</f>
        <v>20000</v>
      </c>
      <c r="L49" s="79"/>
      <c r="M49" s="79">
        <f>SUM(K49:L49)</f>
        <v>20000</v>
      </c>
      <c r="N49" s="79"/>
      <c r="O49" s="79">
        <f>SUM(M49:N49)</f>
        <v>20000</v>
      </c>
      <c r="P49" s="79"/>
      <c r="Q49" s="79">
        <f>SUM(O49:P49)</f>
        <v>20000</v>
      </c>
      <c r="R49" s="79"/>
      <c r="S49" s="79">
        <f>SUM(Q49:R49)</f>
        <v>20000</v>
      </c>
    </row>
    <row r="50" spans="1:19" s="26" customFormat="1" ht="21" customHeight="1">
      <c r="A50" s="66"/>
      <c r="B50" s="80"/>
      <c r="C50" s="66">
        <v>4300</v>
      </c>
      <c r="D50" s="41" t="s">
        <v>77</v>
      </c>
      <c r="E50" s="79">
        <f>230000-50000</f>
        <v>180000</v>
      </c>
      <c r="F50" s="79">
        <v>50000</v>
      </c>
      <c r="G50" s="79">
        <f>SUM(E50:F50)</f>
        <v>230000</v>
      </c>
      <c r="H50" s="79"/>
      <c r="I50" s="79">
        <f>SUM(G50:H50)</f>
        <v>230000</v>
      </c>
      <c r="J50" s="79"/>
      <c r="K50" s="79">
        <f>SUM(I50:J50)</f>
        <v>230000</v>
      </c>
      <c r="L50" s="79"/>
      <c r="M50" s="79">
        <f>SUM(K50:L50)</f>
        <v>230000</v>
      </c>
      <c r="N50" s="79"/>
      <c r="O50" s="79">
        <f>SUM(M50:N50)</f>
        <v>230000</v>
      </c>
      <c r="P50" s="79"/>
      <c r="Q50" s="79">
        <f>SUM(O50:P50)</f>
        <v>230000</v>
      </c>
      <c r="R50" s="79"/>
      <c r="S50" s="79">
        <f>SUM(Q50:R50)</f>
        <v>230000</v>
      </c>
    </row>
    <row r="51" spans="1:19" s="26" customFormat="1" ht="21" customHeight="1">
      <c r="A51" s="66"/>
      <c r="B51" s="80">
        <v>71035</v>
      </c>
      <c r="C51" s="66"/>
      <c r="D51" s="41" t="s">
        <v>14</v>
      </c>
      <c r="E51" s="79">
        <f aca="true" t="shared" si="31" ref="E51:K51">SUM(E52:E54)</f>
        <v>146250</v>
      </c>
      <c r="F51" s="79">
        <f t="shared" si="31"/>
        <v>0</v>
      </c>
      <c r="G51" s="79">
        <f t="shared" si="31"/>
        <v>146250</v>
      </c>
      <c r="H51" s="79">
        <f t="shared" si="31"/>
        <v>0</v>
      </c>
      <c r="I51" s="79">
        <f t="shared" si="31"/>
        <v>146250</v>
      </c>
      <c r="J51" s="79">
        <f t="shared" si="31"/>
        <v>0</v>
      </c>
      <c r="K51" s="79">
        <f t="shared" si="31"/>
        <v>146250</v>
      </c>
      <c r="L51" s="79">
        <f aca="true" t="shared" si="32" ref="L51:Q51">SUM(L52:L54)</f>
        <v>0</v>
      </c>
      <c r="M51" s="79">
        <f t="shared" si="32"/>
        <v>146250</v>
      </c>
      <c r="N51" s="79">
        <f t="shared" si="32"/>
        <v>0</v>
      </c>
      <c r="O51" s="79">
        <f t="shared" si="32"/>
        <v>146250</v>
      </c>
      <c r="P51" s="79">
        <f t="shared" si="32"/>
        <v>0</v>
      </c>
      <c r="Q51" s="79">
        <f t="shared" si="32"/>
        <v>146250</v>
      </c>
      <c r="R51" s="79">
        <f>SUM(R52:R54)</f>
        <v>0</v>
      </c>
      <c r="S51" s="79">
        <f>SUM(S52:S54)</f>
        <v>146250</v>
      </c>
    </row>
    <row r="52" spans="1:19" s="26" customFormat="1" ht="21" customHeight="1">
      <c r="A52" s="66"/>
      <c r="B52" s="80"/>
      <c r="C52" s="66">
        <v>4260</v>
      </c>
      <c r="D52" s="41" t="s">
        <v>93</v>
      </c>
      <c r="E52" s="79">
        <v>250</v>
      </c>
      <c r="F52" s="79"/>
      <c r="G52" s="79">
        <f>SUM(E52:F52)</f>
        <v>250</v>
      </c>
      <c r="H52" s="79"/>
      <c r="I52" s="79">
        <f>SUM(G52:H52)</f>
        <v>250</v>
      </c>
      <c r="J52" s="79"/>
      <c r="K52" s="79">
        <f>SUM(I52:J52)</f>
        <v>250</v>
      </c>
      <c r="L52" s="79"/>
      <c r="M52" s="79">
        <f>SUM(K52:L52)</f>
        <v>250</v>
      </c>
      <c r="N52" s="79"/>
      <c r="O52" s="79">
        <f>SUM(M52:N52)</f>
        <v>250</v>
      </c>
      <c r="P52" s="79"/>
      <c r="Q52" s="79">
        <f>SUM(O52:P52)</f>
        <v>250</v>
      </c>
      <c r="R52" s="79"/>
      <c r="S52" s="79">
        <f>SUM(Q52:R52)</f>
        <v>250</v>
      </c>
    </row>
    <row r="53" spans="1:19" s="26" customFormat="1" ht="21" customHeight="1">
      <c r="A53" s="66"/>
      <c r="B53" s="80"/>
      <c r="C53" s="66">
        <v>4300</v>
      </c>
      <c r="D53" s="41" t="s">
        <v>77</v>
      </c>
      <c r="E53" s="79">
        <v>6000</v>
      </c>
      <c r="F53" s="79"/>
      <c r="G53" s="79">
        <f>SUM(E53:F53)</f>
        <v>6000</v>
      </c>
      <c r="H53" s="79"/>
      <c r="I53" s="79">
        <f>SUM(G53:H53)</f>
        <v>6000</v>
      </c>
      <c r="J53" s="79"/>
      <c r="K53" s="79">
        <f>SUM(I53:J53)</f>
        <v>6000</v>
      </c>
      <c r="L53" s="79"/>
      <c r="M53" s="79">
        <f>SUM(K53:L53)</f>
        <v>6000</v>
      </c>
      <c r="N53" s="79"/>
      <c r="O53" s="79">
        <f>SUM(M53:N53)</f>
        <v>6000</v>
      </c>
      <c r="P53" s="79"/>
      <c r="Q53" s="79">
        <f>SUM(O53:P53)</f>
        <v>6000</v>
      </c>
      <c r="R53" s="79"/>
      <c r="S53" s="79">
        <f>SUM(Q53:R53)</f>
        <v>6000</v>
      </c>
    </row>
    <row r="54" spans="1:19" s="26" customFormat="1" ht="21" customHeight="1">
      <c r="A54" s="66"/>
      <c r="B54" s="80"/>
      <c r="C54" s="66">
        <v>6050</v>
      </c>
      <c r="D54" s="41" t="s">
        <v>71</v>
      </c>
      <c r="E54" s="79">
        <f>20000+120000</f>
        <v>140000</v>
      </c>
      <c r="F54" s="79"/>
      <c r="G54" s="79">
        <f>SUM(E54:F54)</f>
        <v>140000</v>
      </c>
      <c r="H54" s="79"/>
      <c r="I54" s="79">
        <f>SUM(G54:H54)</f>
        <v>140000</v>
      </c>
      <c r="J54" s="79"/>
      <c r="K54" s="79">
        <f>SUM(I54:J54)</f>
        <v>140000</v>
      </c>
      <c r="L54" s="79"/>
      <c r="M54" s="79">
        <f>SUM(K54:L54)</f>
        <v>140000</v>
      </c>
      <c r="N54" s="79"/>
      <c r="O54" s="79">
        <f>SUM(M54:N54)</f>
        <v>140000</v>
      </c>
      <c r="P54" s="79"/>
      <c r="Q54" s="79">
        <f>SUM(O54:P54)</f>
        <v>140000</v>
      </c>
      <c r="R54" s="79"/>
      <c r="S54" s="79">
        <f>SUM(Q54:R54)</f>
        <v>140000</v>
      </c>
    </row>
    <row r="55" spans="1:19" s="8" customFormat="1" ht="21" customHeight="1">
      <c r="A55" s="36" t="s">
        <v>15</v>
      </c>
      <c r="B55" s="37"/>
      <c r="C55" s="38"/>
      <c r="D55" s="39" t="s">
        <v>81</v>
      </c>
      <c r="E55" s="40">
        <f>SUM(E56,E70,E78,E112,E124,)</f>
        <v>6061273</v>
      </c>
      <c r="F55" s="40">
        <f>SUM(F56,F70,F78,F112,F124,)</f>
        <v>-302000</v>
      </c>
      <c r="G55" s="40">
        <f>SUM(G56,G70,G78,G112,G124,)</f>
        <v>5759273</v>
      </c>
      <c r="H55" s="40">
        <f>SUM(H56,H70,H78,H112,H124,)</f>
        <v>0</v>
      </c>
      <c r="I55" s="40">
        <f aca="true" t="shared" si="33" ref="I55:O55">SUM(I56,I70,I78,I112,I124,I103)</f>
        <v>5759273</v>
      </c>
      <c r="J55" s="40">
        <f t="shared" si="33"/>
        <v>129071</v>
      </c>
      <c r="K55" s="40">
        <f t="shared" si="33"/>
        <v>5888344</v>
      </c>
      <c r="L55" s="40">
        <f t="shared" si="33"/>
        <v>7957</v>
      </c>
      <c r="M55" s="40">
        <f t="shared" si="33"/>
        <v>5896301</v>
      </c>
      <c r="N55" s="40">
        <f t="shared" si="33"/>
        <v>0</v>
      </c>
      <c r="O55" s="40">
        <f t="shared" si="33"/>
        <v>5896301</v>
      </c>
      <c r="P55" s="40">
        <f>SUM(P56,P70,P78,P112,P124,P103)</f>
        <v>55958</v>
      </c>
      <c r="Q55" s="40">
        <f>SUM(Q56,Q70,Q78,Q112,Q124,Q103)</f>
        <v>5952259</v>
      </c>
      <c r="R55" s="40">
        <f>SUM(R56,R70,R78,R112,R124,R103)</f>
        <v>48318</v>
      </c>
      <c r="S55" s="40">
        <f>SUM(S56,S70,S78,S112,S124,S103)</f>
        <v>6000577</v>
      </c>
    </row>
    <row r="56" spans="1:19" s="26" customFormat="1" ht="21" customHeight="1">
      <c r="A56" s="66"/>
      <c r="B56" s="80">
        <v>75011</v>
      </c>
      <c r="C56" s="84"/>
      <c r="D56" s="41" t="s">
        <v>17</v>
      </c>
      <c r="E56" s="79">
        <f aca="true" t="shared" si="34" ref="E56:K56">SUM(E57:E69)</f>
        <v>390795</v>
      </c>
      <c r="F56" s="79">
        <f t="shared" si="34"/>
        <v>0</v>
      </c>
      <c r="G56" s="79">
        <f t="shared" si="34"/>
        <v>390795</v>
      </c>
      <c r="H56" s="79">
        <f t="shared" si="34"/>
        <v>0</v>
      </c>
      <c r="I56" s="79">
        <f t="shared" si="34"/>
        <v>390795</v>
      </c>
      <c r="J56" s="79">
        <f t="shared" si="34"/>
        <v>0</v>
      </c>
      <c r="K56" s="79">
        <f t="shared" si="34"/>
        <v>390795</v>
      </c>
      <c r="L56" s="79">
        <f aca="true" t="shared" si="35" ref="L56:Q56">SUM(L57:L69)</f>
        <v>0</v>
      </c>
      <c r="M56" s="79">
        <f t="shared" si="35"/>
        <v>390795</v>
      </c>
      <c r="N56" s="79">
        <f t="shared" si="35"/>
        <v>1600</v>
      </c>
      <c r="O56" s="79">
        <f t="shared" si="35"/>
        <v>392395</v>
      </c>
      <c r="P56" s="79">
        <f t="shared" si="35"/>
        <v>0</v>
      </c>
      <c r="Q56" s="79">
        <f t="shared" si="35"/>
        <v>392395</v>
      </c>
      <c r="R56" s="79">
        <f>SUM(R57:R69)</f>
        <v>0</v>
      </c>
      <c r="S56" s="79">
        <f>SUM(S57:S69)</f>
        <v>392395</v>
      </c>
    </row>
    <row r="57" spans="1:19" s="26" customFormat="1" ht="21" customHeight="1">
      <c r="A57" s="66"/>
      <c r="B57" s="80"/>
      <c r="C57" s="84">
        <v>3020</v>
      </c>
      <c r="D57" s="41" t="s">
        <v>190</v>
      </c>
      <c r="E57" s="79">
        <v>1800</v>
      </c>
      <c r="F57" s="79"/>
      <c r="G57" s="79">
        <f>SUM(E57:F57)</f>
        <v>1800</v>
      </c>
      <c r="H57" s="79"/>
      <c r="I57" s="79">
        <f>SUM(G57:H57)</f>
        <v>1800</v>
      </c>
      <c r="J57" s="79"/>
      <c r="K57" s="79">
        <f>SUM(I57:J57)</f>
        <v>1800</v>
      </c>
      <c r="L57" s="79"/>
      <c r="M57" s="79">
        <f>SUM(K57:L57)</f>
        <v>1800</v>
      </c>
      <c r="N57" s="79"/>
      <c r="O57" s="79">
        <f>SUM(M57:N57)</f>
        <v>1800</v>
      </c>
      <c r="P57" s="79"/>
      <c r="Q57" s="79">
        <f>SUM(O57:P57)</f>
        <v>1800</v>
      </c>
      <c r="R57" s="79"/>
      <c r="S57" s="79">
        <f>SUM(Q57:R57)</f>
        <v>1800</v>
      </c>
    </row>
    <row r="58" spans="1:19" s="26" customFormat="1" ht="21" customHeight="1">
      <c r="A58" s="66"/>
      <c r="B58" s="85"/>
      <c r="C58" s="66">
        <v>4010</v>
      </c>
      <c r="D58" s="41" t="s">
        <v>82</v>
      </c>
      <c r="E58" s="79">
        <f>102400+180845</f>
        <v>283245</v>
      </c>
      <c r="F58" s="79"/>
      <c r="G58" s="79">
        <f aca="true" t="shared" si="36" ref="G58:G69">SUM(E58:F58)</f>
        <v>283245</v>
      </c>
      <c r="H58" s="79"/>
      <c r="I58" s="79">
        <f aca="true" t="shared" si="37" ref="I58:I69">SUM(G58:H58)</f>
        <v>283245</v>
      </c>
      <c r="J58" s="79"/>
      <c r="K58" s="79">
        <f aca="true" t="shared" si="38" ref="K58:K69">SUM(I58:J58)</f>
        <v>283245</v>
      </c>
      <c r="L58" s="79"/>
      <c r="M58" s="79">
        <f aca="true" t="shared" si="39" ref="M58:M69">SUM(K58:L58)</f>
        <v>283245</v>
      </c>
      <c r="N58" s="79"/>
      <c r="O58" s="79">
        <f aca="true" t="shared" si="40" ref="O58:O69">SUM(M58:N58)</f>
        <v>283245</v>
      </c>
      <c r="P58" s="79">
        <v>412</v>
      </c>
      <c r="Q58" s="79">
        <f aca="true" t="shared" si="41" ref="Q58:Q69">SUM(O58:P58)</f>
        <v>283657</v>
      </c>
      <c r="R58" s="79"/>
      <c r="S58" s="79">
        <f aca="true" t="shared" si="42" ref="S58:S69">SUM(Q58:R58)</f>
        <v>283657</v>
      </c>
    </row>
    <row r="59" spans="1:19" s="26" customFormat="1" ht="21" customHeight="1">
      <c r="A59" s="66"/>
      <c r="B59" s="85"/>
      <c r="C59" s="66">
        <v>4040</v>
      </c>
      <c r="D59" s="41" t="s">
        <v>83</v>
      </c>
      <c r="E59" s="79">
        <v>21800</v>
      </c>
      <c r="F59" s="79"/>
      <c r="G59" s="79">
        <f t="shared" si="36"/>
        <v>21800</v>
      </c>
      <c r="H59" s="79"/>
      <c r="I59" s="79">
        <f t="shared" si="37"/>
        <v>21800</v>
      </c>
      <c r="J59" s="79"/>
      <c r="K59" s="79">
        <f t="shared" si="38"/>
        <v>21800</v>
      </c>
      <c r="L59" s="79"/>
      <c r="M59" s="79">
        <f t="shared" si="39"/>
        <v>21800</v>
      </c>
      <c r="N59" s="79"/>
      <c r="O59" s="79">
        <f t="shared" si="40"/>
        <v>21800</v>
      </c>
      <c r="P59" s="79">
        <v>-412</v>
      </c>
      <c r="Q59" s="79">
        <f t="shared" si="41"/>
        <v>21388</v>
      </c>
      <c r="R59" s="79"/>
      <c r="S59" s="79">
        <f t="shared" si="42"/>
        <v>21388</v>
      </c>
    </row>
    <row r="60" spans="1:19" s="26" customFormat="1" ht="21" customHeight="1">
      <c r="A60" s="66"/>
      <c r="B60" s="85"/>
      <c r="C60" s="66">
        <v>4110</v>
      </c>
      <c r="D60" s="41" t="s">
        <v>84</v>
      </c>
      <c r="E60" s="79">
        <f>18900+31000</f>
        <v>49900</v>
      </c>
      <c r="F60" s="79"/>
      <c r="G60" s="79">
        <f t="shared" si="36"/>
        <v>49900</v>
      </c>
      <c r="H60" s="79"/>
      <c r="I60" s="79">
        <f t="shared" si="37"/>
        <v>49900</v>
      </c>
      <c r="J60" s="79"/>
      <c r="K60" s="79">
        <f t="shared" si="38"/>
        <v>49900</v>
      </c>
      <c r="L60" s="79"/>
      <c r="M60" s="79">
        <f t="shared" si="39"/>
        <v>49900</v>
      </c>
      <c r="N60" s="79"/>
      <c r="O60" s="79">
        <f t="shared" si="40"/>
        <v>49900</v>
      </c>
      <c r="P60" s="79"/>
      <c r="Q60" s="79">
        <f t="shared" si="41"/>
        <v>49900</v>
      </c>
      <c r="R60" s="79"/>
      <c r="S60" s="79">
        <f t="shared" si="42"/>
        <v>49900</v>
      </c>
    </row>
    <row r="61" spans="1:19" s="26" customFormat="1" ht="21" customHeight="1">
      <c r="A61" s="66"/>
      <c r="B61" s="85"/>
      <c r="C61" s="66">
        <v>4120</v>
      </c>
      <c r="D61" s="41" t="s">
        <v>85</v>
      </c>
      <c r="E61" s="79">
        <f>3100+5000</f>
        <v>8100</v>
      </c>
      <c r="F61" s="79"/>
      <c r="G61" s="79">
        <f t="shared" si="36"/>
        <v>8100</v>
      </c>
      <c r="H61" s="79"/>
      <c r="I61" s="79">
        <f t="shared" si="37"/>
        <v>8100</v>
      </c>
      <c r="J61" s="79"/>
      <c r="K61" s="79">
        <f t="shared" si="38"/>
        <v>8100</v>
      </c>
      <c r="L61" s="79"/>
      <c r="M61" s="79">
        <f t="shared" si="39"/>
        <v>8100</v>
      </c>
      <c r="N61" s="79"/>
      <c r="O61" s="79">
        <f t="shared" si="40"/>
        <v>8100</v>
      </c>
      <c r="P61" s="79"/>
      <c r="Q61" s="79">
        <f t="shared" si="41"/>
        <v>8100</v>
      </c>
      <c r="R61" s="79"/>
      <c r="S61" s="79">
        <f t="shared" si="42"/>
        <v>8100</v>
      </c>
    </row>
    <row r="62" spans="1:19" s="26" customFormat="1" ht="21" customHeight="1">
      <c r="A62" s="66"/>
      <c r="B62" s="85"/>
      <c r="C62" s="66">
        <v>4170</v>
      </c>
      <c r="D62" s="41" t="s">
        <v>193</v>
      </c>
      <c r="E62" s="79">
        <v>0</v>
      </c>
      <c r="F62" s="79">
        <v>200</v>
      </c>
      <c r="G62" s="79">
        <f t="shared" si="36"/>
        <v>200</v>
      </c>
      <c r="H62" s="79"/>
      <c r="I62" s="79">
        <f t="shared" si="37"/>
        <v>200</v>
      </c>
      <c r="J62" s="79"/>
      <c r="K62" s="79">
        <f t="shared" si="38"/>
        <v>200</v>
      </c>
      <c r="L62" s="79"/>
      <c r="M62" s="79">
        <f t="shared" si="39"/>
        <v>200</v>
      </c>
      <c r="N62" s="79"/>
      <c r="O62" s="79">
        <f t="shared" si="40"/>
        <v>200</v>
      </c>
      <c r="P62" s="79"/>
      <c r="Q62" s="79">
        <f t="shared" si="41"/>
        <v>200</v>
      </c>
      <c r="R62" s="79"/>
      <c r="S62" s="79">
        <f t="shared" si="42"/>
        <v>200</v>
      </c>
    </row>
    <row r="63" spans="1:19" s="26" customFormat="1" ht="21" customHeight="1">
      <c r="A63" s="66"/>
      <c r="B63" s="85"/>
      <c r="C63" s="66">
        <v>4210</v>
      </c>
      <c r="D63" s="41" t="s">
        <v>90</v>
      </c>
      <c r="E63" s="79">
        <v>9950</v>
      </c>
      <c r="F63" s="79"/>
      <c r="G63" s="79">
        <f t="shared" si="36"/>
        <v>9950</v>
      </c>
      <c r="H63" s="79">
        <v>-3000</v>
      </c>
      <c r="I63" s="79">
        <f t="shared" si="37"/>
        <v>6950</v>
      </c>
      <c r="J63" s="79"/>
      <c r="K63" s="79">
        <f t="shared" si="38"/>
        <v>6950</v>
      </c>
      <c r="L63" s="79"/>
      <c r="M63" s="79">
        <f t="shared" si="39"/>
        <v>6950</v>
      </c>
      <c r="N63" s="79">
        <v>-373</v>
      </c>
      <c r="O63" s="79">
        <f t="shared" si="40"/>
        <v>6577</v>
      </c>
      <c r="P63" s="79"/>
      <c r="Q63" s="79">
        <f t="shared" si="41"/>
        <v>6577</v>
      </c>
      <c r="R63" s="79"/>
      <c r="S63" s="79">
        <f t="shared" si="42"/>
        <v>6577</v>
      </c>
    </row>
    <row r="64" spans="1:19" s="26" customFormat="1" ht="21" customHeight="1">
      <c r="A64" s="66"/>
      <c r="B64" s="85"/>
      <c r="C64" s="66">
        <v>4280</v>
      </c>
      <c r="D64" s="41" t="s">
        <v>212</v>
      </c>
      <c r="E64" s="79">
        <v>400</v>
      </c>
      <c r="F64" s="79"/>
      <c r="G64" s="79">
        <f t="shared" si="36"/>
        <v>400</v>
      </c>
      <c r="H64" s="79"/>
      <c r="I64" s="79">
        <f t="shared" si="37"/>
        <v>400</v>
      </c>
      <c r="J64" s="79"/>
      <c r="K64" s="79">
        <f t="shared" si="38"/>
        <v>400</v>
      </c>
      <c r="L64" s="79"/>
      <c r="M64" s="79">
        <f t="shared" si="39"/>
        <v>400</v>
      </c>
      <c r="N64" s="79"/>
      <c r="O64" s="79">
        <f t="shared" si="40"/>
        <v>400</v>
      </c>
      <c r="P64" s="79"/>
      <c r="Q64" s="79">
        <f t="shared" si="41"/>
        <v>400</v>
      </c>
      <c r="R64" s="79"/>
      <c r="S64" s="79">
        <f t="shared" si="42"/>
        <v>400</v>
      </c>
    </row>
    <row r="65" spans="1:19" s="26" customFormat="1" ht="21" customHeight="1">
      <c r="A65" s="66"/>
      <c r="B65" s="85"/>
      <c r="C65" s="66">
        <v>4300</v>
      </c>
      <c r="D65" s="41" t="s">
        <v>77</v>
      </c>
      <c r="E65" s="79">
        <v>3500</v>
      </c>
      <c r="F65" s="79"/>
      <c r="G65" s="79">
        <f t="shared" si="36"/>
        <v>3500</v>
      </c>
      <c r="H65" s="79">
        <v>3000</v>
      </c>
      <c r="I65" s="79">
        <f t="shared" si="37"/>
        <v>6500</v>
      </c>
      <c r="J65" s="79"/>
      <c r="K65" s="79">
        <f t="shared" si="38"/>
        <v>6500</v>
      </c>
      <c r="L65" s="79"/>
      <c r="M65" s="79">
        <f t="shared" si="39"/>
        <v>6500</v>
      </c>
      <c r="N65" s="79">
        <v>373</v>
      </c>
      <c r="O65" s="79">
        <f t="shared" si="40"/>
        <v>6873</v>
      </c>
      <c r="P65" s="79"/>
      <c r="Q65" s="79">
        <f t="shared" si="41"/>
        <v>6873</v>
      </c>
      <c r="R65" s="79"/>
      <c r="S65" s="79">
        <f t="shared" si="42"/>
        <v>6873</v>
      </c>
    </row>
    <row r="66" spans="1:19" s="26" customFormat="1" ht="21" customHeight="1">
      <c r="A66" s="66"/>
      <c r="B66" s="85"/>
      <c r="C66" s="66">
        <v>4410</v>
      </c>
      <c r="D66" s="41" t="s">
        <v>88</v>
      </c>
      <c r="E66" s="79">
        <v>500</v>
      </c>
      <c r="F66" s="79"/>
      <c r="G66" s="79">
        <f t="shared" si="36"/>
        <v>500</v>
      </c>
      <c r="H66" s="79"/>
      <c r="I66" s="79">
        <f t="shared" si="37"/>
        <v>500</v>
      </c>
      <c r="J66" s="79"/>
      <c r="K66" s="79">
        <f t="shared" si="38"/>
        <v>500</v>
      </c>
      <c r="L66" s="79"/>
      <c r="M66" s="79">
        <f t="shared" si="39"/>
        <v>500</v>
      </c>
      <c r="N66" s="79">
        <v>600</v>
      </c>
      <c r="O66" s="79">
        <f t="shared" si="40"/>
        <v>1100</v>
      </c>
      <c r="P66" s="79"/>
      <c r="Q66" s="79">
        <f t="shared" si="41"/>
        <v>1100</v>
      </c>
      <c r="R66" s="79"/>
      <c r="S66" s="79">
        <f t="shared" si="42"/>
        <v>1100</v>
      </c>
    </row>
    <row r="67" spans="1:19" s="26" customFormat="1" ht="21" customHeight="1">
      <c r="A67" s="66"/>
      <c r="B67" s="85"/>
      <c r="C67" s="66">
        <v>4430</v>
      </c>
      <c r="D67" s="41" t="s">
        <v>92</v>
      </c>
      <c r="E67" s="79">
        <v>0</v>
      </c>
      <c r="F67" s="79"/>
      <c r="G67" s="79">
        <f t="shared" si="36"/>
        <v>0</v>
      </c>
      <c r="H67" s="79"/>
      <c r="I67" s="79">
        <f t="shared" si="37"/>
        <v>0</v>
      </c>
      <c r="J67" s="79"/>
      <c r="K67" s="79">
        <f t="shared" si="38"/>
        <v>0</v>
      </c>
      <c r="L67" s="79"/>
      <c r="M67" s="79">
        <f t="shared" si="39"/>
        <v>0</v>
      </c>
      <c r="N67" s="79"/>
      <c r="O67" s="79">
        <f t="shared" si="40"/>
        <v>0</v>
      </c>
      <c r="P67" s="79"/>
      <c r="Q67" s="79">
        <f t="shared" si="41"/>
        <v>0</v>
      </c>
      <c r="R67" s="79"/>
      <c r="S67" s="79">
        <f t="shared" si="42"/>
        <v>0</v>
      </c>
    </row>
    <row r="68" spans="1:19" s="26" customFormat="1" ht="21" customHeight="1">
      <c r="A68" s="66"/>
      <c r="B68" s="85"/>
      <c r="C68" s="69">
        <v>4440</v>
      </c>
      <c r="D68" s="41" t="s">
        <v>86</v>
      </c>
      <c r="E68" s="79">
        <v>10400</v>
      </c>
      <c r="F68" s="79"/>
      <c r="G68" s="79">
        <f t="shared" si="36"/>
        <v>10400</v>
      </c>
      <c r="H68" s="79"/>
      <c r="I68" s="79">
        <f t="shared" si="37"/>
        <v>10400</v>
      </c>
      <c r="J68" s="79"/>
      <c r="K68" s="79">
        <f t="shared" si="38"/>
        <v>10400</v>
      </c>
      <c r="L68" s="79"/>
      <c r="M68" s="79">
        <f t="shared" si="39"/>
        <v>10400</v>
      </c>
      <c r="N68" s="79"/>
      <c r="O68" s="79">
        <f t="shared" si="40"/>
        <v>10400</v>
      </c>
      <c r="P68" s="79"/>
      <c r="Q68" s="79">
        <f t="shared" si="41"/>
        <v>10400</v>
      </c>
      <c r="R68" s="79"/>
      <c r="S68" s="79">
        <f t="shared" si="42"/>
        <v>10400</v>
      </c>
    </row>
    <row r="69" spans="1:19" s="26" customFormat="1" ht="22.5">
      <c r="A69" s="66"/>
      <c r="B69" s="85"/>
      <c r="C69" s="69">
        <v>4700</v>
      </c>
      <c r="D69" s="41" t="s">
        <v>239</v>
      </c>
      <c r="E69" s="79">
        <v>1200</v>
      </c>
      <c r="F69" s="79">
        <v>-200</v>
      </c>
      <c r="G69" s="79">
        <f t="shared" si="36"/>
        <v>1000</v>
      </c>
      <c r="H69" s="79"/>
      <c r="I69" s="79">
        <f t="shared" si="37"/>
        <v>1000</v>
      </c>
      <c r="J69" s="79"/>
      <c r="K69" s="79">
        <f t="shared" si="38"/>
        <v>1000</v>
      </c>
      <c r="L69" s="79"/>
      <c r="M69" s="79">
        <f t="shared" si="39"/>
        <v>1000</v>
      </c>
      <c r="N69" s="79">
        <v>1000</v>
      </c>
      <c r="O69" s="79">
        <f t="shared" si="40"/>
        <v>2000</v>
      </c>
      <c r="P69" s="79"/>
      <c r="Q69" s="79">
        <f t="shared" si="41"/>
        <v>2000</v>
      </c>
      <c r="R69" s="79"/>
      <c r="S69" s="79">
        <f t="shared" si="42"/>
        <v>2000</v>
      </c>
    </row>
    <row r="70" spans="1:19" s="26" customFormat="1" ht="21.75" customHeight="1">
      <c r="A70" s="84"/>
      <c r="B70" s="80" t="s">
        <v>89</v>
      </c>
      <c r="C70" s="84"/>
      <c r="D70" s="41" t="s">
        <v>147</v>
      </c>
      <c r="E70" s="79">
        <f aca="true" t="shared" si="43" ref="E70:K70">SUM(E71:E77)</f>
        <v>282400</v>
      </c>
      <c r="F70" s="79">
        <f t="shared" si="43"/>
        <v>0</v>
      </c>
      <c r="G70" s="79">
        <f t="shared" si="43"/>
        <v>282400</v>
      </c>
      <c r="H70" s="79">
        <f t="shared" si="43"/>
        <v>0</v>
      </c>
      <c r="I70" s="79">
        <f t="shared" si="43"/>
        <v>282400</v>
      </c>
      <c r="J70" s="79">
        <f t="shared" si="43"/>
        <v>0</v>
      </c>
      <c r="K70" s="79">
        <f t="shared" si="43"/>
        <v>282400</v>
      </c>
      <c r="L70" s="79">
        <f aca="true" t="shared" si="44" ref="L70:Q70">SUM(L71:L77)</f>
        <v>0</v>
      </c>
      <c r="M70" s="79">
        <f t="shared" si="44"/>
        <v>282400</v>
      </c>
      <c r="N70" s="79">
        <f t="shared" si="44"/>
        <v>0</v>
      </c>
      <c r="O70" s="79">
        <f t="shared" si="44"/>
        <v>282400</v>
      </c>
      <c r="P70" s="79">
        <f t="shared" si="44"/>
        <v>15000</v>
      </c>
      <c r="Q70" s="79">
        <f t="shared" si="44"/>
        <v>297400</v>
      </c>
      <c r="R70" s="79">
        <f>SUM(R71:R77)</f>
        <v>0</v>
      </c>
      <c r="S70" s="79">
        <f>SUM(S71:S77)</f>
        <v>297400</v>
      </c>
    </row>
    <row r="71" spans="1:19" s="26" customFormat="1" ht="21" customHeight="1">
      <c r="A71" s="84"/>
      <c r="B71" s="80"/>
      <c r="C71" s="66">
        <v>3030</v>
      </c>
      <c r="D71" s="41" t="s">
        <v>87</v>
      </c>
      <c r="E71" s="79">
        <v>251000</v>
      </c>
      <c r="F71" s="79">
        <v>-7000</v>
      </c>
      <c r="G71" s="79">
        <f aca="true" t="shared" si="45" ref="G71:G77">SUM(E71:F71)</f>
        <v>244000</v>
      </c>
      <c r="H71" s="79"/>
      <c r="I71" s="79">
        <f aca="true" t="shared" si="46" ref="I71:I77">SUM(G71:H71)</f>
        <v>244000</v>
      </c>
      <c r="J71" s="79"/>
      <c r="K71" s="79">
        <f aca="true" t="shared" si="47" ref="K71:K77">SUM(I71:J71)</f>
        <v>244000</v>
      </c>
      <c r="L71" s="79"/>
      <c r="M71" s="79">
        <f aca="true" t="shared" si="48" ref="M71:M77">SUM(K71:L71)</f>
        <v>244000</v>
      </c>
      <c r="N71" s="79"/>
      <c r="O71" s="79">
        <f aca="true" t="shared" si="49" ref="O71:O77">SUM(M71:N71)</f>
        <v>244000</v>
      </c>
      <c r="P71" s="79">
        <v>15000</v>
      </c>
      <c r="Q71" s="79">
        <f aca="true" t="shared" si="50" ref="Q71:Q77">SUM(O71:P71)</f>
        <v>259000</v>
      </c>
      <c r="R71" s="79"/>
      <c r="S71" s="79">
        <f aca="true" t="shared" si="51" ref="S71:S77">SUM(Q71:R71)</f>
        <v>259000</v>
      </c>
    </row>
    <row r="72" spans="1:19" s="26" customFormat="1" ht="21" customHeight="1">
      <c r="A72" s="84"/>
      <c r="B72" s="80"/>
      <c r="C72" s="66">
        <v>4210</v>
      </c>
      <c r="D72" s="41" t="s">
        <v>90</v>
      </c>
      <c r="E72" s="79">
        <v>17000</v>
      </c>
      <c r="F72" s="191">
        <v>7000</v>
      </c>
      <c r="G72" s="79">
        <f t="shared" si="45"/>
        <v>24000</v>
      </c>
      <c r="H72" s="79">
        <v>-500</v>
      </c>
      <c r="I72" s="79">
        <f t="shared" si="46"/>
        <v>23500</v>
      </c>
      <c r="J72" s="79"/>
      <c r="K72" s="79">
        <f t="shared" si="47"/>
        <v>23500</v>
      </c>
      <c r="L72" s="79"/>
      <c r="M72" s="79">
        <f t="shared" si="48"/>
        <v>23500</v>
      </c>
      <c r="N72" s="79"/>
      <c r="O72" s="79">
        <f t="shared" si="49"/>
        <v>23500</v>
      </c>
      <c r="P72" s="79"/>
      <c r="Q72" s="79">
        <f t="shared" si="50"/>
        <v>23500</v>
      </c>
      <c r="R72" s="79"/>
      <c r="S72" s="79">
        <f t="shared" si="51"/>
        <v>23500</v>
      </c>
    </row>
    <row r="73" spans="1:19" s="26" customFormat="1" ht="21" customHeight="1">
      <c r="A73" s="84"/>
      <c r="B73" s="80"/>
      <c r="C73" s="66">
        <v>4300</v>
      </c>
      <c r="D73" s="41" t="s">
        <v>77</v>
      </c>
      <c r="E73" s="79">
        <v>9100</v>
      </c>
      <c r="F73" s="191">
        <v>-3000</v>
      </c>
      <c r="G73" s="79">
        <f t="shared" si="45"/>
        <v>6100</v>
      </c>
      <c r="H73" s="79">
        <v>500</v>
      </c>
      <c r="I73" s="79">
        <f t="shared" si="46"/>
        <v>6600</v>
      </c>
      <c r="J73" s="79"/>
      <c r="K73" s="79">
        <f t="shared" si="47"/>
        <v>6600</v>
      </c>
      <c r="L73" s="79"/>
      <c r="M73" s="79">
        <f t="shared" si="48"/>
        <v>6600</v>
      </c>
      <c r="N73" s="79"/>
      <c r="O73" s="79">
        <f t="shared" si="49"/>
        <v>6600</v>
      </c>
      <c r="P73" s="79"/>
      <c r="Q73" s="79">
        <f t="shared" si="50"/>
        <v>6600</v>
      </c>
      <c r="R73" s="79"/>
      <c r="S73" s="79">
        <f t="shared" si="51"/>
        <v>6600</v>
      </c>
    </row>
    <row r="74" spans="1:19" s="26" customFormat="1" ht="33.75">
      <c r="A74" s="84"/>
      <c r="B74" s="80"/>
      <c r="C74" s="66">
        <v>4370</v>
      </c>
      <c r="D74" s="41" t="s">
        <v>294</v>
      </c>
      <c r="E74" s="79">
        <v>100</v>
      </c>
      <c r="F74" s="191"/>
      <c r="G74" s="79">
        <f t="shared" si="45"/>
        <v>100</v>
      </c>
      <c r="H74" s="79"/>
      <c r="I74" s="79">
        <f t="shared" si="46"/>
        <v>100</v>
      </c>
      <c r="J74" s="79"/>
      <c r="K74" s="79">
        <f t="shared" si="47"/>
        <v>100</v>
      </c>
      <c r="L74" s="79"/>
      <c r="M74" s="79">
        <f t="shared" si="48"/>
        <v>100</v>
      </c>
      <c r="N74" s="79"/>
      <c r="O74" s="79">
        <f t="shared" si="49"/>
        <v>100</v>
      </c>
      <c r="P74" s="79"/>
      <c r="Q74" s="79">
        <f t="shared" si="50"/>
        <v>100</v>
      </c>
      <c r="R74" s="79"/>
      <c r="S74" s="79">
        <f t="shared" si="51"/>
        <v>100</v>
      </c>
    </row>
    <row r="75" spans="1:19" s="26" customFormat="1" ht="26.25" customHeight="1">
      <c r="A75" s="84"/>
      <c r="B75" s="80"/>
      <c r="C75" s="66">
        <v>4390</v>
      </c>
      <c r="D75" s="41" t="s">
        <v>484</v>
      </c>
      <c r="E75" s="79">
        <v>0</v>
      </c>
      <c r="F75" s="191">
        <v>3000</v>
      </c>
      <c r="G75" s="79">
        <f t="shared" si="45"/>
        <v>3000</v>
      </c>
      <c r="H75" s="79"/>
      <c r="I75" s="79">
        <f t="shared" si="46"/>
        <v>3000</v>
      </c>
      <c r="J75" s="79"/>
      <c r="K75" s="79">
        <f t="shared" si="47"/>
        <v>3000</v>
      </c>
      <c r="L75" s="79"/>
      <c r="M75" s="79">
        <f t="shared" si="48"/>
        <v>3000</v>
      </c>
      <c r="N75" s="79"/>
      <c r="O75" s="79">
        <f t="shared" si="49"/>
        <v>3000</v>
      </c>
      <c r="P75" s="79"/>
      <c r="Q75" s="79">
        <f t="shared" si="50"/>
        <v>3000</v>
      </c>
      <c r="R75" s="79"/>
      <c r="S75" s="79">
        <f t="shared" si="51"/>
        <v>3000</v>
      </c>
    </row>
    <row r="76" spans="1:19" s="26" customFormat="1" ht="21" customHeight="1">
      <c r="A76" s="84"/>
      <c r="B76" s="80"/>
      <c r="C76" s="69">
        <v>4430</v>
      </c>
      <c r="D76" s="41" t="s">
        <v>92</v>
      </c>
      <c r="E76" s="79">
        <v>200</v>
      </c>
      <c r="F76" s="79"/>
      <c r="G76" s="79">
        <f t="shared" si="45"/>
        <v>200</v>
      </c>
      <c r="H76" s="79"/>
      <c r="I76" s="79">
        <f t="shared" si="46"/>
        <v>200</v>
      </c>
      <c r="J76" s="79"/>
      <c r="K76" s="79">
        <f t="shared" si="47"/>
        <v>200</v>
      </c>
      <c r="L76" s="79"/>
      <c r="M76" s="79">
        <f t="shared" si="48"/>
        <v>200</v>
      </c>
      <c r="N76" s="79"/>
      <c r="O76" s="79">
        <f t="shared" si="49"/>
        <v>200</v>
      </c>
      <c r="P76" s="79"/>
      <c r="Q76" s="79">
        <f t="shared" si="50"/>
        <v>200</v>
      </c>
      <c r="R76" s="79"/>
      <c r="S76" s="79">
        <f t="shared" si="51"/>
        <v>200</v>
      </c>
    </row>
    <row r="77" spans="1:19" s="26" customFormat="1" ht="25.5" customHeight="1">
      <c r="A77" s="84"/>
      <c r="B77" s="80"/>
      <c r="C77" s="69">
        <v>6060</v>
      </c>
      <c r="D77" s="14" t="s">
        <v>94</v>
      </c>
      <c r="E77" s="79">
        <v>5000</v>
      </c>
      <c r="F77" s="79"/>
      <c r="G77" s="79">
        <f t="shared" si="45"/>
        <v>5000</v>
      </c>
      <c r="H77" s="79"/>
      <c r="I77" s="79">
        <f t="shared" si="46"/>
        <v>5000</v>
      </c>
      <c r="J77" s="79"/>
      <c r="K77" s="79">
        <f t="shared" si="47"/>
        <v>5000</v>
      </c>
      <c r="L77" s="79"/>
      <c r="M77" s="79">
        <f t="shared" si="48"/>
        <v>5000</v>
      </c>
      <c r="N77" s="79"/>
      <c r="O77" s="79">
        <f t="shared" si="49"/>
        <v>5000</v>
      </c>
      <c r="P77" s="79"/>
      <c r="Q77" s="79">
        <f t="shared" si="50"/>
        <v>5000</v>
      </c>
      <c r="R77" s="79"/>
      <c r="S77" s="79">
        <f t="shared" si="51"/>
        <v>5000</v>
      </c>
    </row>
    <row r="78" spans="1:19" s="26" customFormat="1" ht="21" customHeight="1">
      <c r="A78" s="84"/>
      <c r="B78" s="80" t="s">
        <v>18</v>
      </c>
      <c r="C78" s="84"/>
      <c r="D78" s="41" t="s">
        <v>19</v>
      </c>
      <c r="E78" s="79">
        <f aca="true" t="shared" si="52" ref="E78:K78">SUM(E79:E102)</f>
        <v>5098290</v>
      </c>
      <c r="F78" s="79">
        <f t="shared" si="52"/>
        <v>-299000</v>
      </c>
      <c r="G78" s="79">
        <f t="shared" si="52"/>
        <v>4799290</v>
      </c>
      <c r="H78" s="79">
        <f t="shared" si="52"/>
        <v>0</v>
      </c>
      <c r="I78" s="79">
        <f t="shared" si="52"/>
        <v>4799290</v>
      </c>
      <c r="J78" s="79">
        <f t="shared" si="52"/>
        <v>100000</v>
      </c>
      <c r="K78" s="79">
        <f t="shared" si="52"/>
        <v>4899290</v>
      </c>
      <c r="L78" s="79">
        <f aca="true" t="shared" si="53" ref="L78:Q78">SUM(L79:L102)</f>
        <v>7932</v>
      </c>
      <c r="M78" s="79">
        <f t="shared" si="53"/>
        <v>4907222</v>
      </c>
      <c r="N78" s="79">
        <f t="shared" si="53"/>
        <v>-1600</v>
      </c>
      <c r="O78" s="79">
        <f t="shared" si="53"/>
        <v>4905622</v>
      </c>
      <c r="P78" s="79">
        <f t="shared" si="53"/>
        <v>40908</v>
      </c>
      <c r="Q78" s="79">
        <f t="shared" si="53"/>
        <v>4946530</v>
      </c>
      <c r="R78" s="79">
        <f>SUM(R79:R102)</f>
        <v>30000</v>
      </c>
      <c r="S78" s="79">
        <f>SUM(S79:S102)</f>
        <v>4976530</v>
      </c>
    </row>
    <row r="79" spans="1:19" s="26" customFormat="1" ht="21" customHeight="1">
      <c r="A79" s="84"/>
      <c r="B79" s="80"/>
      <c r="C79" s="66">
        <v>3020</v>
      </c>
      <c r="D79" s="41" t="s">
        <v>190</v>
      </c>
      <c r="E79" s="79">
        <v>7000</v>
      </c>
      <c r="F79" s="79">
        <v>-200</v>
      </c>
      <c r="G79" s="79">
        <f>SUM(E79:F79)</f>
        <v>6800</v>
      </c>
      <c r="H79" s="79"/>
      <c r="I79" s="79">
        <f>SUM(G79:H79)</f>
        <v>6800</v>
      </c>
      <c r="J79" s="79"/>
      <c r="K79" s="79">
        <f>SUM(I79:J79)</f>
        <v>6800</v>
      </c>
      <c r="L79" s="79"/>
      <c r="M79" s="79">
        <f>SUM(K79:L79)</f>
        <v>6800</v>
      </c>
      <c r="N79" s="79"/>
      <c r="O79" s="79">
        <f>SUM(M79:N79)</f>
        <v>6800</v>
      </c>
      <c r="P79" s="79">
        <v>4000</v>
      </c>
      <c r="Q79" s="79">
        <f>SUM(O79:P79)</f>
        <v>10800</v>
      </c>
      <c r="R79" s="79">
        <v>-1000</v>
      </c>
      <c r="S79" s="79">
        <f>SUM(Q79:R79)</f>
        <v>9800</v>
      </c>
    </row>
    <row r="80" spans="1:19" s="26" customFormat="1" ht="21" customHeight="1">
      <c r="A80" s="84"/>
      <c r="B80" s="80"/>
      <c r="C80" s="66">
        <v>4010</v>
      </c>
      <c r="D80" s="41" t="s">
        <v>82</v>
      </c>
      <c r="E80" s="79">
        <v>3149376</v>
      </c>
      <c r="F80" s="191">
        <v>-49000</v>
      </c>
      <c r="G80" s="79">
        <f aca="true" t="shared" si="54" ref="G80:G102">SUM(E80:F80)</f>
        <v>3100376</v>
      </c>
      <c r="H80" s="79">
        <v>-14500</v>
      </c>
      <c r="I80" s="79">
        <f aca="true" t="shared" si="55" ref="I80:I102">SUM(G80:H80)</f>
        <v>3085876</v>
      </c>
      <c r="J80" s="79"/>
      <c r="K80" s="79">
        <f aca="true" t="shared" si="56" ref="K80:K102">SUM(I80:J80)</f>
        <v>3085876</v>
      </c>
      <c r="L80" s="79">
        <v>-40000</v>
      </c>
      <c r="M80" s="79">
        <f aca="true" t="shared" si="57" ref="M80:M102">SUM(K80:L80)</f>
        <v>3045876</v>
      </c>
      <c r="N80" s="79"/>
      <c r="O80" s="79">
        <f aca="true" t="shared" si="58" ref="O80:O102">SUM(M80:N80)</f>
        <v>3045876</v>
      </c>
      <c r="P80" s="79">
        <v>-56360</v>
      </c>
      <c r="Q80" s="79">
        <f aca="true" t="shared" si="59" ref="Q80:Q102">SUM(O80:P80)</f>
        <v>2989516</v>
      </c>
      <c r="R80" s="79"/>
      <c r="S80" s="79">
        <f aca="true" t="shared" si="60" ref="S80:S102">SUM(Q80:R80)</f>
        <v>2989516</v>
      </c>
    </row>
    <row r="81" spans="1:19" s="26" customFormat="1" ht="21" customHeight="1">
      <c r="A81" s="84"/>
      <c r="B81" s="80"/>
      <c r="C81" s="66">
        <v>4040</v>
      </c>
      <c r="D81" s="41" t="s">
        <v>83</v>
      </c>
      <c r="E81" s="79">
        <v>210000</v>
      </c>
      <c r="F81" s="79"/>
      <c r="G81" s="79">
        <f t="shared" si="54"/>
        <v>210000</v>
      </c>
      <c r="H81" s="79"/>
      <c r="I81" s="79">
        <f t="shared" si="55"/>
        <v>210000</v>
      </c>
      <c r="J81" s="79"/>
      <c r="K81" s="79">
        <f t="shared" si="56"/>
        <v>210000</v>
      </c>
      <c r="L81" s="79"/>
      <c r="M81" s="79">
        <f t="shared" si="57"/>
        <v>210000</v>
      </c>
      <c r="N81" s="79"/>
      <c r="O81" s="79">
        <f t="shared" si="58"/>
        <v>210000</v>
      </c>
      <c r="P81" s="79">
        <v>-2440</v>
      </c>
      <c r="Q81" s="79">
        <f t="shared" si="59"/>
        <v>207560</v>
      </c>
      <c r="R81" s="79"/>
      <c r="S81" s="79">
        <f t="shared" si="60"/>
        <v>207560</v>
      </c>
    </row>
    <row r="82" spans="1:19" s="26" customFormat="1" ht="21" customHeight="1">
      <c r="A82" s="84"/>
      <c r="B82" s="80"/>
      <c r="C82" s="66">
        <v>4110</v>
      </c>
      <c r="D82" s="41" t="s">
        <v>84</v>
      </c>
      <c r="E82" s="79">
        <v>497619</v>
      </c>
      <c r="F82" s="79"/>
      <c r="G82" s="79">
        <f t="shared" si="54"/>
        <v>497619</v>
      </c>
      <c r="H82" s="79"/>
      <c r="I82" s="79">
        <f t="shared" si="55"/>
        <v>497619</v>
      </c>
      <c r="J82" s="79"/>
      <c r="K82" s="79">
        <f t="shared" si="56"/>
        <v>497619</v>
      </c>
      <c r="L82" s="79"/>
      <c r="M82" s="79">
        <f t="shared" si="57"/>
        <v>497619</v>
      </c>
      <c r="N82" s="79"/>
      <c r="O82" s="79">
        <f t="shared" si="58"/>
        <v>497619</v>
      </c>
      <c r="P82" s="79"/>
      <c r="Q82" s="79">
        <f t="shared" si="59"/>
        <v>497619</v>
      </c>
      <c r="R82" s="79"/>
      <c r="S82" s="79">
        <f t="shared" si="60"/>
        <v>497619</v>
      </c>
    </row>
    <row r="83" spans="1:19" s="26" customFormat="1" ht="21" customHeight="1">
      <c r="A83" s="84"/>
      <c r="B83" s="80"/>
      <c r="C83" s="66">
        <v>4120</v>
      </c>
      <c r="D83" s="41" t="s">
        <v>85</v>
      </c>
      <c r="E83" s="79">
        <v>82945</v>
      </c>
      <c r="F83" s="79"/>
      <c r="G83" s="79">
        <f t="shared" si="54"/>
        <v>82945</v>
      </c>
      <c r="H83" s="79"/>
      <c r="I83" s="79">
        <f t="shared" si="55"/>
        <v>82945</v>
      </c>
      <c r="J83" s="79"/>
      <c r="K83" s="79">
        <f t="shared" si="56"/>
        <v>82945</v>
      </c>
      <c r="L83" s="79"/>
      <c r="M83" s="79">
        <f t="shared" si="57"/>
        <v>82945</v>
      </c>
      <c r="N83" s="79"/>
      <c r="O83" s="79">
        <f t="shared" si="58"/>
        <v>82945</v>
      </c>
      <c r="P83" s="79">
        <v>-5000</v>
      </c>
      <c r="Q83" s="79">
        <f t="shared" si="59"/>
        <v>77945</v>
      </c>
      <c r="R83" s="79"/>
      <c r="S83" s="79">
        <f t="shared" si="60"/>
        <v>77945</v>
      </c>
    </row>
    <row r="84" spans="1:19" s="26" customFormat="1" ht="21" customHeight="1">
      <c r="A84" s="84"/>
      <c r="B84" s="80"/>
      <c r="C84" s="66">
        <v>4170</v>
      </c>
      <c r="D84" s="41" t="s">
        <v>193</v>
      </c>
      <c r="E84" s="79">
        <v>28000</v>
      </c>
      <c r="F84" s="79">
        <v>200</v>
      </c>
      <c r="G84" s="79">
        <f t="shared" si="54"/>
        <v>28200</v>
      </c>
      <c r="H84" s="79">
        <v>14500</v>
      </c>
      <c r="I84" s="79">
        <f t="shared" si="55"/>
        <v>42700</v>
      </c>
      <c r="J84" s="79">
        <v>9600</v>
      </c>
      <c r="K84" s="79">
        <f t="shared" si="56"/>
        <v>52300</v>
      </c>
      <c r="L84" s="79"/>
      <c r="M84" s="79">
        <f t="shared" si="57"/>
        <v>52300</v>
      </c>
      <c r="N84" s="79"/>
      <c r="O84" s="79">
        <f t="shared" si="58"/>
        <v>52300</v>
      </c>
      <c r="P84" s="79">
        <v>51360</v>
      </c>
      <c r="Q84" s="79">
        <f t="shared" si="59"/>
        <v>103660</v>
      </c>
      <c r="R84" s="79"/>
      <c r="S84" s="79">
        <f t="shared" si="60"/>
        <v>103660</v>
      </c>
    </row>
    <row r="85" spans="1:19" s="26" customFormat="1" ht="21" customHeight="1">
      <c r="A85" s="84"/>
      <c r="B85" s="80"/>
      <c r="C85" s="66">
        <v>4210</v>
      </c>
      <c r="D85" s="41" t="s">
        <v>90</v>
      </c>
      <c r="E85" s="79">
        <f>128200+2000</f>
        <v>130200</v>
      </c>
      <c r="F85" s="79"/>
      <c r="G85" s="79">
        <f t="shared" si="54"/>
        <v>130200</v>
      </c>
      <c r="H85" s="79">
        <v>-4000</v>
      </c>
      <c r="I85" s="79">
        <f t="shared" si="55"/>
        <v>126200</v>
      </c>
      <c r="J85" s="79"/>
      <c r="K85" s="79">
        <f t="shared" si="56"/>
        <v>126200</v>
      </c>
      <c r="L85" s="79">
        <v>72000</v>
      </c>
      <c r="M85" s="79">
        <f t="shared" si="57"/>
        <v>198200</v>
      </c>
      <c r="N85" s="79"/>
      <c r="O85" s="79">
        <f t="shared" si="58"/>
        <v>198200</v>
      </c>
      <c r="P85" s="79"/>
      <c r="Q85" s="79">
        <f t="shared" si="59"/>
        <v>198200</v>
      </c>
      <c r="R85" s="79">
        <v>-4600</v>
      </c>
      <c r="S85" s="79">
        <f t="shared" si="60"/>
        <v>193600</v>
      </c>
    </row>
    <row r="86" spans="1:19" s="26" customFormat="1" ht="21" customHeight="1">
      <c r="A86" s="84"/>
      <c r="B86" s="80"/>
      <c r="C86" s="66">
        <v>4260</v>
      </c>
      <c r="D86" s="41" t="s">
        <v>93</v>
      </c>
      <c r="E86" s="79">
        <v>62700</v>
      </c>
      <c r="F86" s="79"/>
      <c r="G86" s="79">
        <f t="shared" si="54"/>
        <v>62700</v>
      </c>
      <c r="H86" s="79"/>
      <c r="I86" s="79">
        <f t="shared" si="55"/>
        <v>62700</v>
      </c>
      <c r="J86" s="79"/>
      <c r="K86" s="79">
        <f t="shared" si="56"/>
        <v>62700</v>
      </c>
      <c r="L86" s="79"/>
      <c r="M86" s="79">
        <f t="shared" si="57"/>
        <v>62700</v>
      </c>
      <c r="N86" s="79">
        <v>9000</v>
      </c>
      <c r="O86" s="79">
        <f t="shared" si="58"/>
        <v>71700</v>
      </c>
      <c r="P86" s="79">
        <v>21848</v>
      </c>
      <c r="Q86" s="79">
        <f t="shared" si="59"/>
        <v>93548</v>
      </c>
      <c r="R86" s="79"/>
      <c r="S86" s="79">
        <f t="shared" si="60"/>
        <v>93548</v>
      </c>
    </row>
    <row r="87" spans="1:19" s="26" customFormat="1" ht="21" customHeight="1">
      <c r="A87" s="84"/>
      <c r="B87" s="80"/>
      <c r="C87" s="66">
        <v>4270</v>
      </c>
      <c r="D87" s="41" t="s">
        <v>76</v>
      </c>
      <c r="E87" s="79">
        <f>302500+3000</f>
        <v>305500</v>
      </c>
      <c r="F87" s="191">
        <v>-100000</v>
      </c>
      <c r="G87" s="79">
        <f t="shared" si="54"/>
        <v>205500</v>
      </c>
      <c r="H87" s="79">
        <v>1000</v>
      </c>
      <c r="I87" s="79">
        <f t="shared" si="55"/>
        <v>206500</v>
      </c>
      <c r="J87" s="79">
        <v>70000</v>
      </c>
      <c r="K87" s="79">
        <f t="shared" si="56"/>
        <v>276500</v>
      </c>
      <c r="L87" s="79">
        <v>-40000</v>
      </c>
      <c r="M87" s="79">
        <f t="shared" si="57"/>
        <v>236500</v>
      </c>
      <c r="N87" s="79"/>
      <c r="O87" s="79">
        <f t="shared" si="58"/>
        <v>236500</v>
      </c>
      <c r="P87" s="79"/>
      <c r="Q87" s="79">
        <f t="shared" si="59"/>
        <v>236500</v>
      </c>
      <c r="R87" s="79">
        <v>31000</v>
      </c>
      <c r="S87" s="79">
        <f t="shared" si="60"/>
        <v>267500</v>
      </c>
    </row>
    <row r="88" spans="1:19" s="26" customFormat="1" ht="21" customHeight="1">
      <c r="A88" s="84"/>
      <c r="B88" s="80"/>
      <c r="C88" s="66">
        <v>4280</v>
      </c>
      <c r="D88" s="41" t="s">
        <v>212</v>
      </c>
      <c r="E88" s="79">
        <v>3000</v>
      </c>
      <c r="F88" s="79"/>
      <c r="G88" s="79">
        <f t="shared" si="54"/>
        <v>3000</v>
      </c>
      <c r="H88" s="79"/>
      <c r="I88" s="79">
        <f t="shared" si="55"/>
        <v>3000</v>
      </c>
      <c r="J88" s="79"/>
      <c r="K88" s="79">
        <f t="shared" si="56"/>
        <v>3000</v>
      </c>
      <c r="L88" s="79"/>
      <c r="M88" s="79">
        <f t="shared" si="57"/>
        <v>3000</v>
      </c>
      <c r="N88" s="79"/>
      <c r="O88" s="79">
        <f t="shared" si="58"/>
        <v>3000</v>
      </c>
      <c r="P88" s="79"/>
      <c r="Q88" s="79">
        <f t="shared" si="59"/>
        <v>3000</v>
      </c>
      <c r="R88" s="79"/>
      <c r="S88" s="79">
        <f t="shared" si="60"/>
        <v>3000</v>
      </c>
    </row>
    <row r="89" spans="1:19" s="26" customFormat="1" ht="21" customHeight="1">
      <c r="A89" s="84"/>
      <c r="B89" s="80"/>
      <c r="C89" s="66">
        <v>4300</v>
      </c>
      <c r="D89" s="41" t="s">
        <v>77</v>
      </c>
      <c r="E89" s="79">
        <f>171500+5000</f>
        <v>176500</v>
      </c>
      <c r="F89" s="191">
        <v>-30000</v>
      </c>
      <c r="G89" s="79">
        <f t="shared" si="54"/>
        <v>146500</v>
      </c>
      <c r="H89" s="79">
        <v>2000</v>
      </c>
      <c r="I89" s="79">
        <f t="shared" si="55"/>
        <v>148500</v>
      </c>
      <c r="J89" s="79">
        <v>20400</v>
      </c>
      <c r="K89" s="79">
        <f t="shared" si="56"/>
        <v>168900</v>
      </c>
      <c r="L89" s="79">
        <f>1000</f>
        <v>1000</v>
      </c>
      <c r="M89" s="79">
        <f t="shared" si="57"/>
        <v>169900</v>
      </c>
      <c r="N89" s="79">
        <v>-9000</v>
      </c>
      <c r="O89" s="79">
        <f t="shared" si="58"/>
        <v>160900</v>
      </c>
      <c r="P89" s="79">
        <v>24000</v>
      </c>
      <c r="Q89" s="79">
        <f t="shared" si="59"/>
        <v>184900</v>
      </c>
      <c r="R89" s="79">
        <v>4600</v>
      </c>
      <c r="S89" s="79">
        <f t="shared" si="60"/>
        <v>189500</v>
      </c>
    </row>
    <row r="90" spans="1:19" s="26" customFormat="1" ht="21" customHeight="1">
      <c r="A90" s="84"/>
      <c r="B90" s="80"/>
      <c r="C90" s="66">
        <v>4309</v>
      </c>
      <c r="D90" s="41" t="s">
        <v>77</v>
      </c>
      <c r="E90" s="79"/>
      <c r="F90" s="191"/>
      <c r="G90" s="79"/>
      <c r="H90" s="79"/>
      <c r="I90" s="79"/>
      <c r="J90" s="79"/>
      <c r="K90" s="79">
        <v>0</v>
      </c>
      <c r="L90" s="79">
        <v>7932</v>
      </c>
      <c r="M90" s="79">
        <f t="shared" si="57"/>
        <v>7932</v>
      </c>
      <c r="N90" s="79"/>
      <c r="O90" s="79">
        <f t="shared" si="58"/>
        <v>7932</v>
      </c>
      <c r="P90" s="79"/>
      <c r="Q90" s="79">
        <f t="shared" si="59"/>
        <v>7932</v>
      </c>
      <c r="R90" s="79"/>
      <c r="S90" s="79">
        <f t="shared" si="60"/>
        <v>7932</v>
      </c>
    </row>
    <row r="91" spans="1:19" s="26" customFormat="1" ht="21" customHeight="1">
      <c r="A91" s="84"/>
      <c r="B91" s="80"/>
      <c r="C91" s="66">
        <v>4350</v>
      </c>
      <c r="D91" s="41" t="s">
        <v>205</v>
      </c>
      <c r="E91" s="79">
        <v>17800</v>
      </c>
      <c r="F91" s="79"/>
      <c r="G91" s="79">
        <f t="shared" si="54"/>
        <v>17800</v>
      </c>
      <c r="H91" s="79">
        <v>1000</v>
      </c>
      <c r="I91" s="79">
        <f t="shared" si="55"/>
        <v>18800</v>
      </c>
      <c r="J91" s="79"/>
      <c r="K91" s="79">
        <f t="shared" si="56"/>
        <v>18800</v>
      </c>
      <c r="L91" s="79"/>
      <c r="M91" s="79">
        <f t="shared" si="57"/>
        <v>18800</v>
      </c>
      <c r="N91" s="79"/>
      <c r="O91" s="79">
        <f t="shared" si="58"/>
        <v>18800</v>
      </c>
      <c r="P91" s="79"/>
      <c r="Q91" s="79">
        <f t="shared" si="59"/>
        <v>18800</v>
      </c>
      <c r="R91" s="79"/>
      <c r="S91" s="79">
        <f t="shared" si="60"/>
        <v>18800</v>
      </c>
    </row>
    <row r="92" spans="1:19" s="26" customFormat="1" ht="33.75">
      <c r="A92" s="84"/>
      <c r="B92" s="80"/>
      <c r="C92" s="66">
        <v>4360</v>
      </c>
      <c r="D92" s="41" t="s">
        <v>295</v>
      </c>
      <c r="E92" s="79">
        <v>13000</v>
      </c>
      <c r="F92" s="79"/>
      <c r="G92" s="79">
        <f t="shared" si="54"/>
        <v>13000</v>
      </c>
      <c r="H92" s="79"/>
      <c r="I92" s="79">
        <f t="shared" si="55"/>
        <v>13000</v>
      </c>
      <c r="J92" s="79"/>
      <c r="K92" s="79">
        <f t="shared" si="56"/>
        <v>13000</v>
      </c>
      <c r="L92" s="79"/>
      <c r="M92" s="79">
        <f t="shared" si="57"/>
        <v>13000</v>
      </c>
      <c r="N92" s="79"/>
      <c r="O92" s="79">
        <f t="shared" si="58"/>
        <v>13000</v>
      </c>
      <c r="P92" s="79">
        <v>3500</v>
      </c>
      <c r="Q92" s="79">
        <f t="shared" si="59"/>
        <v>16500</v>
      </c>
      <c r="R92" s="79"/>
      <c r="S92" s="79">
        <f t="shared" si="60"/>
        <v>16500</v>
      </c>
    </row>
    <row r="93" spans="1:19" s="26" customFormat="1" ht="33.75">
      <c r="A93" s="84"/>
      <c r="B93" s="80"/>
      <c r="C93" s="66">
        <v>4370</v>
      </c>
      <c r="D93" s="41" t="s">
        <v>294</v>
      </c>
      <c r="E93" s="79">
        <v>20150</v>
      </c>
      <c r="F93" s="79"/>
      <c r="G93" s="79">
        <f t="shared" si="54"/>
        <v>20150</v>
      </c>
      <c r="H93" s="79"/>
      <c r="I93" s="79">
        <f t="shared" si="55"/>
        <v>20150</v>
      </c>
      <c r="J93" s="79"/>
      <c r="K93" s="79">
        <f t="shared" si="56"/>
        <v>20150</v>
      </c>
      <c r="L93" s="79"/>
      <c r="M93" s="79">
        <f t="shared" si="57"/>
        <v>20150</v>
      </c>
      <c r="N93" s="79"/>
      <c r="O93" s="79">
        <f t="shared" si="58"/>
        <v>20150</v>
      </c>
      <c r="P93" s="79"/>
      <c r="Q93" s="79">
        <f t="shared" si="59"/>
        <v>20150</v>
      </c>
      <c r="R93" s="79"/>
      <c r="S93" s="79">
        <f t="shared" si="60"/>
        <v>20150</v>
      </c>
    </row>
    <row r="94" spans="1:19" s="26" customFormat="1" ht="21" customHeight="1">
      <c r="A94" s="84"/>
      <c r="B94" s="80"/>
      <c r="C94" s="66">
        <v>4410</v>
      </c>
      <c r="D94" s="41" t="s">
        <v>88</v>
      </c>
      <c r="E94" s="79">
        <v>45000</v>
      </c>
      <c r="F94" s="79"/>
      <c r="G94" s="79">
        <f t="shared" si="54"/>
        <v>45000</v>
      </c>
      <c r="H94" s="79"/>
      <c r="I94" s="79">
        <f t="shared" si="55"/>
        <v>45000</v>
      </c>
      <c r="J94" s="79"/>
      <c r="K94" s="79">
        <f t="shared" si="56"/>
        <v>45000</v>
      </c>
      <c r="L94" s="79"/>
      <c r="M94" s="79">
        <f t="shared" si="57"/>
        <v>45000</v>
      </c>
      <c r="N94" s="79">
        <v>-600</v>
      </c>
      <c r="O94" s="79">
        <f t="shared" si="58"/>
        <v>44400</v>
      </c>
      <c r="P94" s="79"/>
      <c r="Q94" s="79">
        <f t="shared" si="59"/>
        <v>44400</v>
      </c>
      <c r="R94" s="79"/>
      <c r="S94" s="79">
        <f t="shared" si="60"/>
        <v>44400</v>
      </c>
    </row>
    <row r="95" spans="1:19" s="26" customFormat="1" ht="21" customHeight="1">
      <c r="A95" s="84"/>
      <c r="B95" s="80"/>
      <c r="C95" s="66">
        <v>4420</v>
      </c>
      <c r="D95" s="41" t="s">
        <v>91</v>
      </c>
      <c r="E95" s="79">
        <v>3000</v>
      </c>
      <c r="F95" s="79"/>
      <c r="G95" s="79">
        <f t="shared" si="54"/>
        <v>3000</v>
      </c>
      <c r="H95" s="79"/>
      <c r="I95" s="79">
        <f t="shared" si="55"/>
        <v>3000</v>
      </c>
      <c r="J95" s="79"/>
      <c r="K95" s="79">
        <f t="shared" si="56"/>
        <v>3000</v>
      </c>
      <c r="L95" s="79"/>
      <c r="M95" s="79">
        <f t="shared" si="57"/>
        <v>3000</v>
      </c>
      <c r="N95" s="79"/>
      <c r="O95" s="79">
        <f t="shared" si="58"/>
        <v>3000</v>
      </c>
      <c r="P95" s="79"/>
      <c r="Q95" s="79">
        <f t="shared" si="59"/>
        <v>3000</v>
      </c>
      <c r="R95" s="79"/>
      <c r="S95" s="79">
        <f t="shared" si="60"/>
        <v>3000</v>
      </c>
    </row>
    <row r="96" spans="1:19" s="26" customFormat="1" ht="21" customHeight="1">
      <c r="A96" s="84"/>
      <c r="B96" s="80"/>
      <c r="C96" s="69">
        <v>4430</v>
      </c>
      <c r="D96" s="41" t="s">
        <v>92</v>
      </c>
      <c r="E96" s="79">
        <v>35900</v>
      </c>
      <c r="F96" s="79"/>
      <c r="G96" s="79">
        <f t="shared" si="54"/>
        <v>35900</v>
      </c>
      <c r="H96" s="79"/>
      <c r="I96" s="79">
        <f t="shared" si="55"/>
        <v>35900</v>
      </c>
      <c r="J96" s="79"/>
      <c r="K96" s="79">
        <f t="shared" si="56"/>
        <v>35900</v>
      </c>
      <c r="L96" s="79"/>
      <c r="M96" s="79">
        <f t="shared" si="57"/>
        <v>35900</v>
      </c>
      <c r="N96" s="79"/>
      <c r="O96" s="79">
        <f t="shared" si="58"/>
        <v>35900</v>
      </c>
      <c r="P96" s="79"/>
      <c r="Q96" s="79">
        <f t="shared" si="59"/>
        <v>35900</v>
      </c>
      <c r="R96" s="79"/>
      <c r="S96" s="79">
        <f t="shared" si="60"/>
        <v>35900</v>
      </c>
    </row>
    <row r="97" spans="1:19" s="26" customFormat="1" ht="21" customHeight="1">
      <c r="A97" s="84"/>
      <c r="B97" s="80"/>
      <c r="C97" s="69">
        <v>4440</v>
      </c>
      <c r="D97" s="41" t="s">
        <v>86</v>
      </c>
      <c r="E97" s="79">
        <v>96000</v>
      </c>
      <c r="F97" s="79"/>
      <c r="G97" s="79">
        <f t="shared" si="54"/>
        <v>96000</v>
      </c>
      <c r="H97" s="79"/>
      <c r="I97" s="79">
        <f t="shared" si="55"/>
        <v>96000</v>
      </c>
      <c r="J97" s="79"/>
      <c r="K97" s="79">
        <f t="shared" si="56"/>
        <v>96000</v>
      </c>
      <c r="L97" s="79"/>
      <c r="M97" s="79">
        <f t="shared" si="57"/>
        <v>96000</v>
      </c>
      <c r="N97" s="79"/>
      <c r="O97" s="79">
        <f t="shared" si="58"/>
        <v>96000</v>
      </c>
      <c r="P97" s="79"/>
      <c r="Q97" s="79">
        <f t="shared" si="59"/>
        <v>96000</v>
      </c>
      <c r="R97" s="79"/>
      <c r="S97" s="79">
        <f t="shared" si="60"/>
        <v>96000</v>
      </c>
    </row>
    <row r="98" spans="1:19" s="26" customFormat="1" ht="21" customHeight="1">
      <c r="A98" s="84"/>
      <c r="B98" s="80"/>
      <c r="C98" s="69">
        <v>4510</v>
      </c>
      <c r="D98" s="41" t="s">
        <v>143</v>
      </c>
      <c r="E98" s="79">
        <v>500</v>
      </c>
      <c r="F98" s="79"/>
      <c r="G98" s="79">
        <f t="shared" si="54"/>
        <v>500</v>
      </c>
      <c r="H98" s="79"/>
      <c r="I98" s="79">
        <f t="shared" si="55"/>
        <v>500</v>
      </c>
      <c r="J98" s="79"/>
      <c r="K98" s="79">
        <f t="shared" si="56"/>
        <v>500</v>
      </c>
      <c r="L98" s="79"/>
      <c r="M98" s="79">
        <f t="shared" si="57"/>
        <v>500</v>
      </c>
      <c r="N98" s="79"/>
      <c r="O98" s="79">
        <f t="shared" si="58"/>
        <v>500</v>
      </c>
      <c r="P98" s="79"/>
      <c r="Q98" s="79">
        <f t="shared" si="59"/>
        <v>500</v>
      </c>
      <c r="R98" s="79"/>
      <c r="S98" s="79">
        <f t="shared" si="60"/>
        <v>500</v>
      </c>
    </row>
    <row r="99" spans="1:19" s="26" customFormat="1" ht="22.5">
      <c r="A99" s="84"/>
      <c r="B99" s="80"/>
      <c r="C99" s="69">
        <v>4700</v>
      </c>
      <c r="D99" s="41" t="s">
        <v>239</v>
      </c>
      <c r="E99" s="79">
        <v>15000</v>
      </c>
      <c r="F99" s="79"/>
      <c r="G99" s="79">
        <f t="shared" si="54"/>
        <v>15000</v>
      </c>
      <c r="H99" s="79"/>
      <c r="I99" s="79">
        <f t="shared" si="55"/>
        <v>15000</v>
      </c>
      <c r="J99" s="79"/>
      <c r="K99" s="79">
        <f t="shared" si="56"/>
        <v>15000</v>
      </c>
      <c r="L99" s="79">
        <v>7000</v>
      </c>
      <c r="M99" s="79">
        <f t="shared" si="57"/>
        <v>22000</v>
      </c>
      <c r="N99" s="79">
        <v>-1000</v>
      </c>
      <c r="O99" s="79">
        <f t="shared" si="58"/>
        <v>21000</v>
      </c>
      <c r="P99" s="79"/>
      <c r="Q99" s="79">
        <f t="shared" si="59"/>
        <v>21000</v>
      </c>
      <c r="R99" s="79"/>
      <c r="S99" s="79">
        <f t="shared" si="60"/>
        <v>21000</v>
      </c>
    </row>
    <row r="100" spans="1:19" s="26" customFormat="1" ht="23.25" customHeight="1">
      <c r="A100" s="84"/>
      <c r="B100" s="80"/>
      <c r="C100" s="69">
        <v>4780</v>
      </c>
      <c r="D100" s="41" t="s">
        <v>318</v>
      </c>
      <c r="E100" s="79">
        <v>1000</v>
      </c>
      <c r="F100" s="79"/>
      <c r="G100" s="79">
        <f t="shared" si="54"/>
        <v>1000</v>
      </c>
      <c r="H100" s="79"/>
      <c r="I100" s="79">
        <f t="shared" si="55"/>
        <v>1000</v>
      </c>
      <c r="J100" s="79"/>
      <c r="K100" s="79">
        <f t="shared" si="56"/>
        <v>1000</v>
      </c>
      <c r="L100" s="79"/>
      <c r="M100" s="79">
        <f t="shared" si="57"/>
        <v>1000</v>
      </c>
      <c r="N100" s="79"/>
      <c r="O100" s="79">
        <f t="shared" si="58"/>
        <v>1000</v>
      </c>
      <c r="P100" s="79"/>
      <c r="Q100" s="79">
        <f t="shared" si="59"/>
        <v>1000</v>
      </c>
      <c r="R100" s="79"/>
      <c r="S100" s="79">
        <f t="shared" si="60"/>
        <v>1000</v>
      </c>
    </row>
    <row r="101" spans="1:19" s="26" customFormat="1" ht="21" customHeight="1">
      <c r="A101" s="84"/>
      <c r="B101" s="80"/>
      <c r="C101" s="69">
        <v>6050</v>
      </c>
      <c r="D101" s="41" t="s">
        <v>71</v>
      </c>
      <c r="E101" s="79">
        <v>120000</v>
      </c>
      <c r="F101" s="79">
        <v>-120000</v>
      </c>
      <c r="G101" s="79">
        <f t="shared" si="54"/>
        <v>0</v>
      </c>
      <c r="H101" s="79"/>
      <c r="I101" s="79">
        <f t="shared" si="55"/>
        <v>0</v>
      </c>
      <c r="J101" s="79"/>
      <c r="K101" s="79">
        <f t="shared" si="56"/>
        <v>0</v>
      </c>
      <c r="L101" s="79"/>
      <c r="M101" s="79">
        <f t="shared" si="57"/>
        <v>0</v>
      </c>
      <c r="N101" s="79"/>
      <c r="O101" s="79">
        <f t="shared" si="58"/>
        <v>0</v>
      </c>
      <c r="P101" s="79"/>
      <c r="Q101" s="79">
        <f t="shared" si="59"/>
        <v>0</v>
      </c>
      <c r="R101" s="79"/>
      <c r="S101" s="79">
        <f t="shared" si="60"/>
        <v>0</v>
      </c>
    </row>
    <row r="102" spans="1:19" s="26" customFormat="1" ht="21" customHeight="1">
      <c r="A102" s="84"/>
      <c r="B102" s="80"/>
      <c r="C102" s="69">
        <v>6060</v>
      </c>
      <c r="D102" s="14" t="s">
        <v>94</v>
      </c>
      <c r="E102" s="79">
        <v>78100</v>
      </c>
      <c r="F102" s="79"/>
      <c r="G102" s="79">
        <f t="shared" si="54"/>
        <v>78100</v>
      </c>
      <c r="H102" s="79"/>
      <c r="I102" s="79">
        <f t="shared" si="55"/>
        <v>78100</v>
      </c>
      <c r="J102" s="79"/>
      <c r="K102" s="79">
        <f t="shared" si="56"/>
        <v>78100</v>
      </c>
      <c r="L102" s="79"/>
      <c r="M102" s="79">
        <f t="shared" si="57"/>
        <v>78100</v>
      </c>
      <c r="N102" s="79"/>
      <c r="O102" s="79">
        <f t="shared" si="58"/>
        <v>78100</v>
      </c>
      <c r="P102" s="79"/>
      <c r="Q102" s="79">
        <f t="shared" si="59"/>
        <v>78100</v>
      </c>
      <c r="R102" s="79"/>
      <c r="S102" s="79">
        <f t="shared" si="60"/>
        <v>78100</v>
      </c>
    </row>
    <row r="103" spans="1:19" s="26" customFormat="1" ht="21" customHeight="1">
      <c r="A103" s="84"/>
      <c r="B103" s="80">
        <v>75056</v>
      </c>
      <c r="C103" s="69"/>
      <c r="D103" s="14" t="s">
        <v>389</v>
      </c>
      <c r="E103" s="79"/>
      <c r="F103" s="79"/>
      <c r="G103" s="79"/>
      <c r="H103" s="79"/>
      <c r="I103" s="79">
        <f aca="true" t="shared" si="61" ref="I103:N103">SUM(I104:I109)</f>
        <v>0</v>
      </c>
      <c r="J103" s="79">
        <f t="shared" si="61"/>
        <v>29071</v>
      </c>
      <c r="K103" s="79">
        <f t="shared" si="61"/>
        <v>29071</v>
      </c>
      <c r="L103" s="79">
        <f t="shared" si="61"/>
        <v>0</v>
      </c>
      <c r="M103" s="79">
        <f t="shared" si="61"/>
        <v>29071</v>
      </c>
      <c r="N103" s="79">
        <f t="shared" si="61"/>
        <v>0</v>
      </c>
      <c r="O103" s="79">
        <f>SUM(O104:O111)</f>
        <v>29071</v>
      </c>
      <c r="P103" s="79">
        <f>SUM(P104:P111)</f>
        <v>0</v>
      </c>
      <c r="Q103" s="79">
        <f>SUM(Q104:Q111)</f>
        <v>29071</v>
      </c>
      <c r="R103" s="79">
        <f>SUM(R104:R111)</f>
        <v>18318</v>
      </c>
      <c r="S103" s="79">
        <f>SUM(S104:S111)</f>
        <v>47389</v>
      </c>
    </row>
    <row r="104" spans="1:19" s="26" customFormat="1" ht="18.75" customHeight="1">
      <c r="A104" s="84"/>
      <c r="B104" s="80"/>
      <c r="C104" s="69">
        <v>3020</v>
      </c>
      <c r="D104" s="41" t="s">
        <v>190</v>
      </c>
      <c r="E104" s="79"/>
      <c r="F104" s="79"/>
      <c r="G104" s="79"/>
      <c r="H104" s="79"/>
      <c r="I104" s="79">
        <v>0</v>
      </c>
      <c r="J104" s="79">
        <v>17600</v>
      </c>
      <c r="K104" s="79">
        <f>SUM(I104:J104)</f>
        <v>17600</v>
      </c>
      <c r="L104" s="79">
        <v>8998</v>
      </c>
      <c r="M104" s="79">
        <f>SUM(K104:L104)</f>
        <v>26598</v>
      </c>
      <c r="N104" s="79"/>
      <c r="O104" s="79">
        <f>SUM(M104:N104)</f>
        <v>26598</v>
      </c>
      <c r="P104" s="79"/>
      <c r="Q104" s="79">
        <f aca="true" t="shared" si="62" ref="Q104:Q111">SUM(O104:P104)</f>
        <v>26598</v>
      </c>
      <c r="R104" s="79"/>
      <c r="S104" s="79">
        <f aca="true" t="shared" si="63" ref="S104:S111">SUM(Q104:R104)</f>
        <v>26598</v>
      </c>
    </row>
    <row r="105" spans="1:19" s="26" customFormat="1" ht="22.5">
      <c r="A105" s="84"/>
      <c r="B105" s="80"/>
      <c r="C105" s="69">
        <v>3040</v>
      </c>
      <c r="D105" s="41" t="s">
        <v>470</v>
      </c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>
        <v>0</v>
      </c>
      <c r="R105" s="79">
        <v>16201</v>
      </c>
      <c r="S105" s="79">
        <f t="shared" si="63"/>
        <v>16201</v>
      </c>
    </row>
    <row r="106" spans="1:19" s="26" customFormat="1" ht="21" customHeight="1">
      <c r="A106" s="84"/>
      <c r="B106" s="80"/>
      <c r="C106" s="69">
        <v>4110</v>
      </c>
      <c r="D106" s="41" t="s">
        <v>84</v>
      </c>
      <c r="E106" s="79"/>
      <c r="F106" s="79"/>
      <c r="G106" s="79"/>
      <c r="H106" s="79"/>
      <c r="I106" s="79">
        <v>0</v>
      </c>
      <c r="J106" s="79">
        <v>3655</v>
      </c>
      <c r="K106" s="79">
        <f>SUM(I106:J106)</f>
        <v>3655</v>
      </c>
      <c r="L106" s="79">
        <v>-3464</v>
      </c>
      <c r="M106" s="79">
        <f>SUM(K106:L106)</f>
        <v>191</v>
      </c>
      <c r="N106" s="79"/>
      <c r="O106" s="79">
        <f>SUM(M106:N106)</f>
        <v>191</v>
      </c>
      <c r="P106" s="79"/>
      <c r="Q106" s="79">
        <f t="shared" si="62"/>
        <v>191</v>
      </c>
      <c r="R106" s="79">
        <v>274</v>
      </c>
      <c r="S106" s="79">
        <f t="shared" si="63"/>
        <v>465</v>
      </c>
    </row>
    <row r="107" spans="1:19" s="26" customFormat="1" ht="21" customHeight="1">
      <c r="A107" s="84"/>
      <c r="B107" s="80"/>
      <c r="C107" s="69">
        <v>4120</v>
      </c>
      <c r="D107" s="41" t="s">
        <v>85</v>
      </c>
      <c r="E107" s="79"/>
      <c r="F107" s="79"/>
      <c r="G107" s="79"/>
      <c r="H107" s="79"/>
      <c r="I107" s="79">
        <v>0</v>
      </c>
      <c r="J107" s="79">
        <v>561</v>
      </c>
      <c r="K107" s="79">
        <f>SUM(I107:J107)</f>
        <v>561</v>
      </c>
      <c r="L107" s="79">
        <v>-530</v>
      </c>
      <c r="M107" s="79">
        <f>SUM(K107:L107)</f>
        <v>31</v>
      </c>
      <c r="N107" s="79"/>
      <c r="O107" s="79">
        <f>SUM(M107:N107)</f>
        <v>31</v>
      </c>
      <c r="P107" s="79"/>
      <c r="Q107" s="79">
        <f t="shared" si="62"/>
        <v>31</v>
      </c>
      <c r="R107" s="79">
        <v>45</v>
      </c>
      <c r="S107" s="79">
        <f t="shared" si="63"/>
        <v>76</v>
      </c>
    </row>
    <row r="108" spans="1:19" s="26" customFormat="1" ht="21" customHeight="1">
      <c r="A108" s="84"/>
      <c r="B108" s="80"/>
      <c r="C108" s="69">
        <v>4170</v>
      </c>
      <c r="D108" s="41" t="s">
        <v>193</v>
      </c>
      <c r="E108" s="79"/>
      <c r="F108" s="79"/>
      <c r="G108" s="79"/>
      <c r="H108" s="79"/>
      <c r="I108" s="79">
        <v>0</v>
      </c>
      <c r="J108" s="79">
        <v>6255</v>
      </c>
      <c r="K108" s="79">
        <f>SUM(I108:J108)</f>
        <v>6255</v>
      </c>
      <c r="L108" s="79">
        <v>-5004</v>
      </c>
      <c r="M108" s="79">
        <f>SUM(K108:L108)</f>
        <v>1251</v>
      </c>
      <c r="N108" s="79"/>
      <c r="O108" s="79">
        <f>SUM(M108:N108)</f>
        <v>1251</v>
      </c>
      <c r="P108" s="79"/>
      <c r="Q108" s="79">
        <f t="shared" si="62"/>
        <v>1251</v>
      </c>
      <c r="R108" s="79">
        <v>1798</v>
      </c>
      <c r="S108" s="79">
        <f t="shared" si="63"/>
        <v>3049</v>
      </c>
    </row>
    <row r="109" spans="1:19" s="26" customFormat="1" ht="21" customHeight="1">
      <c r="A109" s="84"/>
      <c r="B109" s="80"/>
      <c r="C109" s="69">
        <v>4210</v>
      </c>
      <c r="D109" s="41" t="s">
        <v>90</v>
      </c>
      <c r="E109" s="79"/>
      <c r="F109" s="79"/>
      <c r="G109" s="79"/>
      <c r="H109" s="79"/>
      <c r="I109" s="79">
        <v>0</v>
      </c>
      <c r="J109" s="79">
        <v>1000</v>
      </c>
      <c r="K109" s="79">
        <f>SUM(I109:J109)</f>
        <v>1000</v>
      </c>
      <c r="L109" s="79"/>
      <c r="M109" s="79">
        <f>SUM(K109:L109)</f>
        <v>1000</v>
      </c>
      <c r="N109" s="79"/>
      <c r="O109" s="79">
        <f>SUM(M109:N109)</f>
        <v>1000</v>
      </c>
      <c r="P109" s="79">
        <v>-1000</v>
      </c>
      <c r="Q109" s="79">
        <f t="shared" si="62"/>
        <v>0</v>
      </c>
      <c r="R109" s="79"/>
      <c r="S109" s="79">
        <f t="shared" si="63"/>
        <v>0</v>
      </c>
    </row>
    <row r="110" spans="1:19" s="26" customFormat="1" ht="33.75">
      <c r="A110" s="84"/>
      <c r="B110" s="80"/>
      <c r="C110" s="69">
        <v>4370</v>
      </c>
      <c r="D110" s="41" t="s">
        <v>294</v>
      </c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>
        <v>0</v>
      </c>
      <c r="P110" s="79">
        <v>129</v>
      </c>
      <c r="Q110" s="79">
        <f t="shared" si="62"/>
        <v>129</v>
      </c>
      <c r="R110" s="79"/>
      <c r="S110" s="79">
        <f t="shared" si="63"/>
        <v>129</v>
      </c>
    </row>
    <row r="111" spans="1:19" s="26" customFormat="1" ht="21" customHeight="1">
      <c r="A111" s="84"/>
      <c r="B111" s="80"/>
      <c r="C111" s="69">
        <v>4410</v>
      </c>
      <c r="D111" s="41" t="s">
        <v>88</v>
      </c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>
        <v>0</v>
      </c>
      <c r="P111" s="79">
        <v>871</v>
      </c>
      <c r="Q111" s="79">
        <f t="shared" si="62"/>
        <v>871</v>
      </c>
      <c r="R111" s="79"/>
      <c r="S111" s="79">
        <f t="shared" si="63"/>
        <v>871</v>
      </c>
    </row>
    <row r="112" spans="1:19" s="26" customFormat="1" ht="21" customHeight="1">
      <c r="A112" s="84"/>
      <c r="B112" s="80">
        <v>75075</v>
      </c>
      <c r="C112" s="84"/>
      <c r="D112" s="41" t="s">
        <v>203</v>
      </c>
      <c r="E112" s="79">
        <f aca="true" t="shared" si="64" ref="E112:K112">SUM(E113:E123)</f>
        <v>178500</v>
      </c>
      <c r="F112" s="79">
        <f t="shared" si="64"/>
        <v>-8000</v>
      </c>
      <c r="G112" s="79">
        <f t="shared" si="64"/>
        <v>170500</v>
      </c>
      <c r="H112" s="79">
        <f t="shared" si="64"/>
        <v>0</v>
      </c>
      <c r="I112" s="79">
        <f t="shared" si="64"/>
        <v>170500</v>
      </c>
      <c r="J112" s="79">
        <f t="shared" si="64"/>
        <v>0</v>
      </c>
      <c r="K112" s="79">
        <f t="shared" si="64"/>
        <v>170500</v>
      </c>
      <c r="L112" s="79">
        <f aca="true" t="shared" si="65" ref="L112:Q112">SUM(L113:L123)</f>
        <v>0</v>
      </c>
      <c r="M112" s="79">
        <f t="shared" si="65"/>
        <v>170500</v>
      </c>
      <c r="N112" s="79">
        <f t="shared" si="65"/>
        <v>0</v>
      </c>
      <c r="O112" s="79">
        <f t="shared" si="65"/>
        <v>170500</v>
      </c>
      <c r="P112" s="79">
        <f t="shared" si="65"/>
        <v>0</v>
      </c>
      <c r="Q112" s="79">
        <f t="shared" si="65"/>
        <v>170500</v>
      </c>
      <c r="R112" s="79">
        <f>SUM(R113:R123)</f>
        <v>0</v>
      </c>
      <c r="S112" s="79">
        <f>SUM(S113:S123)</f>
        <v>170500</v>
      </c>
    </row>
    <row r="113" spans="1:19" s="26" customFormat="1" ht="21" customHeight="1">
      <c r="A113" s="84"/>
      <c r="B113" s="80"/>
      <c r="C113" s="84">
        <v>3020</v>
      </c>
      <c r="D113" s="41" t="s">
        <v>190</v>
      </c>
      <c r="E113" s="79">
        <v>10000</v>
      </c>
      <c r="F113" s="79"/>
      <c r="G113" s="79">
        <f>SUM(E113:F113)</f>
        <v>10000</v>
      </c>
      <c r="H113" s="79"/>
      <c r="I113" s="79">
        <f>SUM(G113:H113)</f>
        <v>10000</v>
      </c>
      <c r="J113" s="79"/>
      <c r="K113" s="79">
        <f>SUM(I113:J113)</f>
        <v>10000</v>
      </c>
      <c r="L113" s="79"/>
      <c r="M113" s="79">
        <f>SUM(K113:L113)</f>
        <v>10000</v>
      </c>
      <c r="N113" s="79"/>
      <c r="O113" s="79">
        <f>SUM(M113:N113)</f>
        <v>10000</v>
      </c>
      <c r="P113" s="79"/>
      <c r="Q113" s="79">
        <f>SUM(O113:P113)</f>
        <v>10000</v>
      </c>
      <c r="R113" s="79"/>
      <c r="S113" s="79">
        <f>SUM(Q113:R113)</f>
        <v>10000</v>
      </c>
    </row>
    <row r="114" spans="1:19" s="26" customFormat="1" ht="21" customHeight="1">
      <c r="A114" s="84"/>
      <c r="B114" s="80"/>
      <c r="C114" s="84">
        <v>4110</v>
      </c>
      <c r="D114" s="41" t="s">
        <v>84</v>
      </c>
      <c r="E114" s="79">
        <v>1000</v>
      </c>
      <c r="F114" s="79"/>
      <c r="G114" s="79">
        <f aca="true" t="shared" si="66" ref="G114:G123">SUM(E114:F114)</f>
        <v>1000</v>
      </c>
      <c r="H114" s="79"/>
      <c r="I114" s="79">
        <f aca="true" t="shared" si="67" ref="I114:I123">SUM(G114:H114)</f>
        <v>1000</v>
      </c>
      <c r="J114" s="79"/>
      <c r="K114" s="79">
        <f aca="true" t="shared" si="68" ref="K114:K123">SUM(I114:J114)</f>
        <v>1000</v>
      </c>
      <c r="L114" s="79"/>
      <c r="M114" s="79">
        <f aca="true" t="shared" si="69" ref="M114:M123">SUM(K114:L114)</f>
        <v>1000</v>
      </c>
      <c r="N114" s="79"/>
      <c r="O114" s="79">
        <f aca="true" t="shared" si="70" ref="O114:O123">SUM(M114:N114)</f>
        <v>1000</v>
      </c>
      <c r="P114" s="79"/>
      <c r="Q114" s="79">
        <f aca="true" t="shared" si="71" ref="Q114:Q123">SUM(O114:P114)</f>
        <v>1000</v>
      </c>
      <c r="R114" s="79"/>
      <c r="S114" s="79">
        <f aca="true" t="shared" si="72" ref="S114:S123">SUM(Q114:R114)</f>
        <v>1000</v>
      </c>
    </row>
    <row r="115" spans="1:19" s="26" customFormat="1" ht="21" customHeight="1">
      <c r="A115" s="84"/>
      <c r="B115" s="80"/>
      <c r="C115" s="84">
        <v>4120</v>
      </c>
      <c r="D115" s="41" t="s">
        <v>85</v>
      </c>
      <c r="E115" s="79">
        <v>300</v>
      </c>
      <c r="F115" s="79"/>
      <c r="G115" s="79">
        <f t="shared" si="66"/>
        <v>300</v>
      </c>
      <c r="H115" s="79"/>
      <c r="I115" s="79">
        <f t="shared" si="67"/>
        <v>300</v>
      </c>
      <c r="J115" s="79"/>
      <c r="K115" s="79">
        <f t="shared" si="68"/>
        <v>300</v>
      </c>
      <c r="L115" s="79"/>
      <c r="M115" s="79">
        <f t="shared" si="69"/>
        <v>300</v>
      </c>
      <c r="N115" s="79"/>
      <c r="O115" s="79">
        <f t="shared" si="70"/>
        <v>300</v>
      </c>
      <c r="P115" s="79"/>
      <c r="Q115" s="79">
        <f t="shared" si="71"/>
        <v>300</v>
      </c>
      <c r="R115" s="79"/>
      <c r="S115" s="79">
        <f t="shared" si="72"/>
        <v>300</v>
      </c>
    </row>
    <row r="116" spans="1:19" s="26" customFormat="1" ht="21" customHeight="1">
      <c r="A116" s="84"/>
      <c r="B116" s="80"/>
      <c r="C116" s="84">
        <v>4170</v>
      </c>
      <c r="D116" s="41" t="s">
        <v>193</v>
      </c>
      <c r="E116" s="79">
        <v>10000</v>
      </c>
      <c r="F116" s="79"/>
      <c r="G116" s="79">
        <f t="shared" si="66"/>
        <v>10000</v>
      </c>
      <c r="H116" s="79"/>
      <c r="I116" s="79">
        <f t="shared" si="67"/>
        <v>10000</v>
      </c>
      <c r="J116" s="79"/>
      <c r="K116" s="79">
        <f t="shared" si="68"/>
        <v>10000</v>
      </c>
      <c r="L116" s="79"/>
      <c r="M116" s="79">
        <f t="shared" si="69"/>
        <v>10000</v>
      </c>
      <c r="N116" s="79"/>
      <c r="O116" s="79">
        <f t="shared" si="70"/>
        <v>10000</v>
      </c>
      <c r="P116" s="79"/>
      <c r="Q116" s="79">
        <f t="shared" si="71"/>
        <v>10000</v>
      </c>
      <c r="R116" s="79"/>
      <c r="S116" s="79">
        <f t="shared" si="72"/>
        <v>10000</v>
      </c>
    </row>
    <row r="117" spans="1:19" s="26" customFormat="1" ht="21" customHeight="1">
      <c r="A117" s="84"/>
      <c r="B117" s="80"/>
      <c r="C117" s="84">
        <v>4210</v>
      </c>
      <c r="D117" s="41" t="s">
        <v>90</v>
      </c>
      <c r="E117" s="79">
        <v>50200</v>
      </c>
      <c r="F117" s="79">
        <v>-4000</v>
      </c>
      <c r="G117" s="79">
        <f t="shared" si="66"/>
        <v>46200</v>
      </c>
      <c r="H117" s="79"/>
      <c r="I117" s="79">
        <f t="shared" si="67"/>
        <v>46200</v>
      </c>
      <c r="J117" s="79"/>
      <c r="K117" s="79">
        <f t="shared" si="68"/>
        <v>46200</v>
      </c>
      <c r="L117" s="79"/>
      <c r="M117" s="79">
        <f t="shared" si="69"/>
        <v>46200</v>
      </c>
      <c r="N117" s="79"/>
      <c r="O117" s="79">
        <f t="shared" si="70"/>
        <v>46200</v>
      </c>
      <c r="P117" s="79"/>
      <c r="Q117" s="79">
        <f t="shared" si="71"/>
        <v>46200</v>
      </c>
      <c r="R117" s="79"/>
      <c r="S117" s="79">
        <f t="shared" si="72"/>
        <v>46200</v>
      </c>
    </row>
    <row r="118" spans="1:19" s="26" customFormat="1" ht="21" customHeight="1">
      <c r="A118" s="84"/>
      <c r="B118" s="80"/>
      <c r="C118" s="66">
        <v>4300</v>
      </c>
      <c r="D118" s="41" t="s">
        <v>77</v>
      </c>
      <c r="E118" s="79">
        <v>91000</v>
      </c>
      <c r="F118" s="79">
        <v>-4000</v>
      </c>
      <c r="G118" s="79">
        <f t="shared" si="66"/>
        <v>87000</v>
      </c>
      <c r="H118" s="79"/>
      <c r="I118" s="79">
        <f t="shared" si="67"/>
        <v>87000</v>
      </c>
      <c r="J118" s="79"/>
      <c r="K118" s="79">
        <f t="shared" si="68"/>
        <v>87000</v>
      </c>
      <c r="L118" s="79"/>
      <c r="M118" s="79">
        <f t="shared" si="69"/>
        <v>87000</v>
      </c>
      <c r="N118" s="79"/>
      <c r="O118" s="79">
        <f t="shared" si="70"/>
        <v>87000</v>
      </c>
      <c r="P118" s="79"/>
      <c r="Q118" s="79">
        <f t="shared" si="71"/>
        <v>87000</v>
      </c>
      <c r="R118" s="79">
        <v>10000</v>
      </c>
      <c r="S118" s="79">
        <f t="shared" si="72"/>
        <v>97000</v>
      </c>
    </row>
    <row r="119" spans="1:19" s="26" customFormat="1" ht="21" customHeight="1">
      <c r="A119" s="84"/>
      <c r="B119" s="80"/>
      <c r="C119" s="66">
        <v>4350</v>
      </c>
      <c r="D119" s="41" t="s">
        <v>205</v>
      </c>
      <c r="E119" s="79">
        <v>5000</v>
      </c>
      <c r="F119" s="79"/>
      <c r="G119" s="79">
        <f t="shared" si="66"/>
        <v>5000</v>
      </c>
      <c r="H119" s="79"/>
      <c r="I119" s="79">
        <f t="shared" si="67"/>
        <v>5000</v>
      </c>
      <c r="J119" s="79"/>
      <c r="K119" s="79">
        <f t="shared" si="68"/>
        <v>5000</v>
      </c>
      <c r="L119" s="79"/>
      <c r="M119" s="79">
        <f t="shared" si="69"/>
        <v>5000</v>
      </c>
      <c r="N119" s="79"/>
      <c r="O119" s="79">
        <f t="shared" si="70"/>
        <v>5000</v>
      </c>
      <c r="P119" s="79"/>
      <c r="Q119" s="79">
        <f t="shared" si="71"/>
        <v>5000</v>
      </c>
      <c r="R119" s="79">
        <v>-4000</v>
      </c>
      <c r="S119" s="79">
        <f t="shared" si="72"/>
        <v>1000</v>
      </c>
    </row>
    <row r="120" spans="1:19" s="26" customFormat="1" ht="21" customHeight="1">
      <c r="A120" s="84"/>
      <c r="B120" s="80"/>
      <c r="C120" s="66">
        <v>4410</v>
      </c>
      <c r="D120" s="41" t="s">
        <v>88</v>
      </c>
      <c r="E120" s="79">
        <v>2000</v>
      </c>
      <c r="F120" s="79"/>
      <c r="G120" s="79">
        <f t="shared" si="66"/>
        <v>2000</v>
      </c>
      <c r="H120" s="79"/>
      <c r="I120" s="79">
        <f t="shared" si="67"/>
        <v>2000</v>
      </c>
      <c r="J120" s="79"/>
      <c r="K120" s="79">
        <f t="shared" si="68"/>
        <v>2000</v>
      </c>
      <c r="L120" s="79"/>
      <c r="M120" s="79">
        <f t="shared" si="69"/>
        <v>2000</v>
      </c>
      <c r="N120" s="79"/>
      <c r="O120" s="79">
        <f t="shared" si="70"/>
        <v>2000</v>
      </c>
      <c r="P120" s="79"/>
      <c r="Q120" s="79">
        <f t="shared" si="71"/>
        <v>2000</v>
      </c>
      <c r="R120" s="79">
        <v>-2000</v>
      </c>
      <c r="S120" s="79">
        <f t="shared" si="72"/>
        <v>0</v>
      </c>
    </row>
    <row r="121" spans="1:19" s="26" customFormat="1" ht="21" customHeight="1">
      <c r="A121" s="84"/>
      <c r="B121" s="80"/>
      <c r="C121" s="84">
        <v>4420</v>
      </c>
      <c r="D121" s="41" t="s">
        <v>91</v>
      </c>
      <c r="E121" s="79">
        <v>2000</v>
      </c>
      <c r="F121" s="79"/>
      <c r="G121" s="79">
        <f t="shared" si="66"/>
        <v>2000</v>
      </c>
      <c r="H121" s="79"/>
      <c r="I121" s="79">
        <f t="shared" si="67"/>
        <v>2000</v>
      </c>
      <c r="J121" s="79"/>
      <c r="K121" s="79">
        <f t="shared" si="68"/>
        <v>2000</v>
      </c>
      <c r="L121" s="79"/>
      <c r="M121" s="79">
        <f t="shared" si="69"/>
        <v>2000</v>
      </c>
      <c r="N121" s="79"/>
      <c r="O121" s="79">
        <f t="shared" si="70"/>
        <v>2000</v>
      </c>
      <c r="P121" s="79"/>
      <c r="Q121" s="79">
        <f t="shared" si="71"/>
        <v>2000</v>
      </c>
      <c r="R121" s="79">
        <v>-2000</v>
      </c>
      <c r="S121" s="79">
        <f t="shared" si="72"/>
        <v>0</v>
      </c>
    </row>
    <row r="122" spans="1:19" s="26" customFormat="1" ht="21" customHeight="1">
      <c r="A122" s="84"/>
      <c r="B122" s="80"/>
      <c r="C122" s="66">
        <v>4430</v>
      </c>
      <c r="D122" s="41" t="s">
        <v>92</v>
      </c>
      <c r="E122" s="79">
        <v>3000</v>
      </c>
      <c r="F122" s="79"/>
      <c r="G122" s="79">
        <f t="shared" si="66"/>
        <v>3000</v>
      </c>
      <c r="H122" s="79"/>
      <c r="I122" s="79">
        <f t="shared" si="67"/>
        <v>3000</v>
      </c>
      <c r="J122" s="79"/>
      <c r="K122" s="79">
        <f t="shared" si="68"/>
        <v>3000</v>
      </c>
      <c r="L122" s="79"/>
      <c r="M122" s="79">
        <f t="shared" si="69"/>
        <v>3000</v>
      </c>
      <c r="N122" s="79"/>
      <c r="O122" s="79">
        <f t="shared" si="70"/>
        <v>3000</v>
      </c>
      <c r="P122" s="79"/>
      <c r="Q122" s="79">
        <f t="shared" si="71"/>
        <v>3000</v>
      </c>
      <c r="R122" s="79">
        <v>-2000</v>
      </c>
      <c r="S122" s="79">
        <f t="shared" si="72"/>
        <v>1000</v>
      </c>
    </row>
    <row r="123" spans="1:19" s="26" customFormat="1" ht="22.5" customHeight="1">
      <c r="A123" s="84"/>
      <c r="B123" s="80"/>
      <c r="C123" s="66">
        <v>6060</v>
      </c>
      <c r="D123" s="14" t="s">
        <v>94</v>
      </c>
      <c r="E123" s="79">
        <v>4000</v>
      </c>
      <c r="F123" s="79"/>
      <c r="G123" s="79">
        <f t="shared" si="66"/>
        <v>4000</v>
      </c>
      <c r="H123" s="79"/>
      <c r="I123" s="79">
        <f t="shared" si="67"/>
        <v>4000</v>
      </c>
      <c r="J123" s="79"/>
      <c r="K123" s="79">
        <f t="shared" si="68"/>
        <v>4000</v>
      </c>
      <c r="L123" s="79"/>
      <c r="M123" s="79">
        <f t="shared" si="69"/>
        <v>4000</v>
      </c>
      <c r="N123" s="79"/>
      <c r="O123" s="79">
        <f t="shared" si="70"/>
        <v>4000</v>
      </c>
      <c r="P123" s="79"/>
      <c r="Q123" s="79">
        <f t="shared" si="71"/>
        <v>4000</v>
      </c>
      <c r="R123" s="79"/>
      <c r="S123" s="79">
        <f t="shared" si="72"/>
        <v>4000</v>
      </c>
    </row>
    <row r="124" spans="1:19" s="26" customFormat="1" ht="21" customHeight="1">
      <c r="A124" s="84"/>
      <c r="B124" s="80">
        <v>75095</v>
      </c>
      <c r="C124" s="66"/>
      <c r="D124" s="41" t="s">
        <v>6</v>
      </c>
      <c r="E124" s="79">
        <f aca="true" t="shared" si="73" ref="E124:K124">SUM(E125:E129)</f>
        <v>111288</v>
      </c>
      <c r="F124" s="79">
        <f t="shared" si="73"/>
        <v>5000</v>
      </c>
      <c r="G124" s="79">
        <f t="shared" si="73"/>
        <v>116288</v>
      </c>
      <c r="H124" s="79">
        <f t="shared" si="73"/>
        <v>0</v>
      </c>
      <c r="I124" s="79">
        <f t="shared" si="73"/>
        <v>116288</v>
      </c>
      <c r="J124" s="79">
        <f t="shared" si="73"/>
        <v>0</v>
      </c>
      <c r="K124" s="79">
        <f t="shared" si="73"/>
        <v>116288</v>
      </c>
      <c r="L124" s="79">
        <f aca="true" t="shared" si="74" ref="L124:Q124">SUM(L125:L129)</f>
        <v>25</v>
      </c>
      <c r="M124" s="79">
        <f t="shared" si="74"/>
        <v>116313</v>
      </c>
      <c r="N124" s="79">
        <f t="shared" si="74"/>
        <v>0</v>
      </c>
      <c r="O124" s="79">
        <f t="shared" si="74"/>
        <v>116313</v>
      </c>
      <c r="P124" s="79">
        <f t="shared" si="74"/>
        <v>50</v>
      </c>
      <c r="Q124" s="79">
        <f t="shared" si="74"/>
        <v>116363</v>
      </c>
      <c r="R124" s="79">
        <f>SUM(R125:R129)</f>
        <v>0</v>
      </c>
      <c r="S124" s="79">
        <f>SUM(S125:S129)</f>
        <v>116363</v>
      </c>
    </row>
    <row r="125" spans="1:19" s="26" customFormat="1" ht="21" customHeight="1">
      <c r="A125" s="84"/>
      <c r="B125" s="80"/>
      <c r="C125" s="66">
        <v>3030</v>
      </c>
      <c r="D125" s="41" t="s">
        <v>87</v>
      </c>
      <c r="E125" s="79">
        <v>63000</v>
      </c>
      <c r="F125" s="79"/>
      <c r="G125" s="79">
        <f>SUM(E125:F125)</f>
        <v>63000</v>
      </c>
      <c r="H125" s="79"/>
      <c r="I125" s="79">
        <f>SUM(G125:H125)</f>
        <v>63000</v>
      </c>
      <c r="J125" s="79"/>
      <c r="K125" s="79">
        <f>SUM(I125:J125)</f>
        <v>63000</v>
      </c>
      <c r="L125" s="79"/>
      <c r="M125" s="79">
        <f>SUM(K125:L125)</f>
        <v>63000</v>
      </c>
      <c r="N125" s="79"/>
      <c r="O125" s="79">
        <f>SUM(M125:N125)</f>
        <v>63000</v>
      </c>
      <c r="P125" s="79"/>
      <c r="Q125" s="79">
        <f>SUM(O125:P125)</f>
        <v>63000</v>
      </c>
      <c r="R125" s="79"/>
      <c r="S125" s="79">
        <f>SUM(Q125:R125)</f>
        <v>63000</v>
      </c>
    </row>
    <row r="126" spans="1:19" s="26" customFormat="1" ht="21" customHeight="1">
      <c r="A126" s="84"/>
      <c r="B126" s="80"/>
      <c r="C126" s="66">
        <v>4210</v>
      </c>
      <c r="D126" s="41" t="s">
        <v>90</v>
      </c>
      <c r="E126" s="79">
        <f>1273+3000</f>
        <v>4273</v>
      </c>
      <c r="F126" s="79"/>
      <c r="G126" s="79">
        <f>SUM(E126:F126)</f>
        <v>4273</v>
      </c>
      <c r="H126" s="79"/>
      <c r="I126" s="79">
        <f>SUM(G126:H126)</f>
        <v>4273</v>
      </c>
      <c r="J126" s="79"/>
      <c r="K126" s="79">
        <f>SUM(I126:J126)</f>
        <v>4273</v>
      </c>
      <c r="L126" s="79">
        <v>25</v>
      </c>
      <c r="M126" s="79">
        <f>SUM(K126:L126)</f>
        <v>4298</v>
      </c>
      <c r="N126" s="79"/>
      <c r="O126" s="79">
        <f>SUM(M126:N126)</f>
        <v>4298</v>
      </c>
      <c r="P126" s="79"/>
      <c r="Q126" s="79">
        <f>SUM(O126:P126)</f>
        <v>4298</v>
      </c>
      <c r="R126" s="79"/>
      <c r="S126" s="79">
        <f>SUM(Q126:R126)</f>
        <v>4298</v>
      </c>
    </row>
    <row r="127" spans="1:19" s="26" customFormat="1" ht="21" customHeight="1">
      <c r="A127" s="84"/>
      <c r="B127" s="80"/>
      <c r="C127" s="66">
        <v>4300</v>
      </c>
      <c r="D127" s="41" t="s">
        <v>77</v>
      </c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>
        <v>0</v>
      </c>
      <c r="P127" s="79">
        <v>50</v>
      </c>
      <c r="Q127" s="79">
        <f>SUM(O127:P127)</f>
        <v>50</v>
      </c>
      <c r="R127" s="79"/>
      <c r="S127" s="79">
        <f>SUM(Q127:R127)</f>
        <v>50</v>
      </c>
    </row>
    <row r="128" spans="1:19" s="26" customFormat="1" ht="21" customHeight="1">
      <c r="A128" s="84"/>
      <c r="B128" s="80"/>
      <c r="C128" s="66">
        <v>4430</v>
      </c>
      <c r="D128" s="41" t="s">
        <v>92</v>
      </c>
      <c r="E128" s="79">
        <v>43815</v>
      </c>
      <c r="F128" s="79">
        <v>5000</v>
      </c>
      <c r="G128" s="79">
        <f>SUM(E128:F128)</f>
        <v>48815</v>
      </c>
      <c r="H128" s="79"/>
      <c r="I128" s="79">
        <f>SUM(G128:H128)</f>
        <v>48815</v>
      </c>
      <c r="J128" s="79"/>
      <c r="K128" s="79">
        <f>SUM(I128:J128)</f>
        <v>48815</v>
      </c>
      <c r="L128" s="79"/>
      <c r="M128" s="79">
        <f>SUM(K128:L128)</f>
        <v>48815</v>
      </c>
      <c r="N128" s="79"/>
      <c r="O128" s="79">
        <f>SUM(M128:N128)</f>
        <v>48815</v>
      </c>
      <c r="P128" s="79"/>
      <c r="Q128" s="79">
        <f>SUM(O128:P128)</f>
        <v>48815</v>
      </c>
      <c r="R128" s="79"/>
      <c r="S128" s="79">
        <f>SUM(Q128:R128)</f>
        <v>48815</v>
      </c>
    </row>
    <row r="129" spans="1:19" s="26" customFormat="1" ht="21" customHeight="1">
      <c r="A129" s="84"/>
      <c r="B129" s="80"/>
      <c r="C129" s="66">
        <v>4610</v>
      </c>
      <c r="D129" s="41" t="s">
        <v>180</v>
      </c>
      <c r="E129" s="79">
        <v>200</v>
      </c>
      <c r="F129" s="79"/>
      <c r="G129" s="79">
        <f>SUM(E129:F129)</f>
        <v>200</v>
      </c>
      <c r="H129" s="79"/>
      <c r="I129" s="79">
        <f>SUM(G129:H129)</f>
        <v>200</v>
      </c>
      <c r="J129" s="79"/>
      <c r="K129" s="79">
        <f>SUM(I129:J129)</f>
        <v>200</v>
      </c>
      <c r="L129" s="79"/>
      <c r="M129" s="79">
        <f>SUM(K129:L129)</f>
        <v>200</v>
      </c>
      <c r="N129" s="79"/>
      <c r="O129" s="79">
        <f>SUM(M129:N129)</f>
        <v>200</v>
      </c>
      <c r="P129" s="79"/>
      <c r="Q129" s="79">
        <f>SUM(O129:P129)</f>
        <v>200</v>
      </c>
      <c r="R129" s="79"/>
      <c r="S129" s="79">
        <f>SUM(Q129:R129)</f>
        <v>200</v>
      </c>
    </row>
    <row r="130" spans="1:19" s="8" customFormat="1" ht="36">
      <c r="A130" s="36">
        <v>751</v>
      </c>
      <c r="B130" s="37"/>
      <c r="C130" s="38"/>
      <c r="D130" s="39" t="s">
        <v>96</v>
      </c>
      <c r="E130" s="40">
        <f aca="true" t="shared" si="75" ref="E130:K130">SUM(E131,E136)</f>
        <v>3850</v>
      </c>
      <c r="F130" s="40">
        <f t="shared" si="75"/>
        <v>46434</v>
      </c>
      <c r="G130" s="40">
        <f t="shared" si="75"/>
        <v>50284</v>
      </c>
      <c r="H130" s="40">
        <f t="shared" si="75"/>
        <v>0</v>
      </c>
      <c r="I130" s="40">
        <f t="shared" si="75"/>
        <v>50284</v>
      </c>
      <c r="J130" s="40">
        <f t="shared" si="75"/>
        <v>0</v>
      </c>
      <c r="K130" s="40">
        <f t="shared" si="75"/>
        <v>50284</v>
      </c>
      <c r="L130" s="40">
        <f aca="true" t="shared" si="76" ref="L130:Q130">SUM(L131,L136)</f>
        <v>0</v>
      </c>
      <c r="M130" s="40">
        <f t="shared" si="76"/>
        <v>50284</v>
      </c>
      <c r="N130" s="40">
        <f t="shared" si="76"/>
        <v>0</v>
      </c>
      <c r="O130" s="40">
        <f t="shared" si="76"/>
        <v>50284</v>
      </c>
      <c r="P130" s="40">
        <f t="shared" si="76"/>
        <v>0</v>
      </c>
      <c r="Q130" s="40">
        <f t="shared" si="76"/>
        <v>50284</v>
      </c>
      <c r="R130" s="40">
        <f>SUM(R131,R136)</f>
        <v>0</v>
      </c>
      <c r="S130" s="40">
        <f>SUM(S131,S136)</f>
        <v>50284</v>
      </c>
    </row>
    <row r="131" spans="1:19" s="26" customFormat="1" ht="22.5">
      <c r="A131" s="84"/>
      <c r="B131" s="80">
        <v>75101</v>
      </c>
      <c r="C131" s="84"/>
      <c r="D131" s="41" t="s">
        <v>21</v>
      </c>
      <c r="E131" s="79">
        <f aca="true" t="shared" si="77" ref="E131:K131">SUM(E132:E135)</f>
        <v>3850</v>
      </c>
      <c r="F131" s="79">
        <f t="shared" si="77"/>
        <v>0</v>
      </c>
      <c r="G131" s="79">
        <f t="shared" si="77"/>
        <v>3850</v>
      </c>
      <c r="H131" s="79">
        <f t="shared" si="77"/>
        <v>0</v>
      </c>
      <c r="I131" s="79">
        <f t="shared" si="77"/>
        <v>3850</v>
      </c>
      <c r="J131" s="79">
        <f t="shared" si="77"/>
        <v>0</v>
      </c>
      <c r="K131" s="79">
        <f t="shared" si="77"/>
        <v>3850</v>
      </c>
      <c r="L131" s="79">
        <f aca="true" t="shared" si="78" ref="L131:Q131">SUM(L132:L135)</f>
        <v>0</v>
      </c>
      <c r="M131" s="79">
        <f t="shared" si="78"/>
        <v>3850</v>
      </c>
      <c r="N131" s="79">
        <f t="shared" si="78"/>
        <v>0</v>
      </c>
      <c r="O131" s="79">
        <f t="shared" si="78"/>
        <v>3850</v>
      </c>
      <c r="P131" s="79">
        <f t="shared" si="78"/>
        <v>0</v>
      </c>
      <c r="Q131" s="79">
        <f t="shared" si="78"/>
        <v>3850</v>
      </c>
      <c r="R131" s="79">
        <f>SUM(R132:R135)</f>
        <v>0</v>
      </c>
      <c r="S131" s="79">
        <f>SUM(S132:S135)</f>
        <v>3850</v>
      </c>
    </row>
    <row r="132" spans="1:19" s="26" customFormat="1" ht="21.75" customHeight="1">
      <c r="A132" s="84"/>
      <c r="B132" s="80"/>
      <c r="C132" s="84">
        <v>4010</v>
      </c>
      <c r="D132" s="41" t="s">
        <v>82</v>
      </c>
      <c r="E132" s="79">
        <v>2845</v>
      </c>
      <c r="F132" s="79"/>
      <c r="G132" s="79">
        <f>SUM(E132:F132)</f>
        <v>2845</v>
      </c>
      <c r="H132" s="79"/>
      <c r="I132" s="79">
        <f>SUM(G132:H132)</f>
        <v>2845</v>
      </c>
      <c r="J132" s="79"/>
      <c r="K132" s="79">
        <f>SUM(I132:J132)</f>
        <v>2845</v>
      </c>
      <c r="L132" s="79"/>
      <c r="M132" s="79">
        <f>SUM(K132:L132)</f>
        <v>2845</v>
      </c>
      <c r="N132" s="79"/>
      <c r="O132" s="79">
        <f>SUM(M132:N132)</f>
        <v>2845</v>
      </c>
      <c r="P132" s="79"/>
      <c r="Q132" s="79">
        <f>SUM(O132:P132)</f>
        <v>2845</v>
      </c>
      <c r="R132" s="79"/>
      <c r="S132" s="79">
        <f>SUM(Q132:R132)</f>
        <v>2845</v>
      </c>
    </row>
    <row r="133" spans="1:19" s="26" customFormat="1" ht="18" customHeight="1">
      <c r="A133" s="84"/>
      <c r="B133" s="80"/>
      <c r="C133" s="84">
        <v>4110</v>
      </c>
      <c r="D133" s="41" t="s">
        <v>84</v>
      </c>
      <c r="E133" s="79">
        <v>435</v>
      </c>
      <c r="F133" s="79"/>
      <c r="G133" s="79">
        <f>SUM(E133:F133)</f>
        <v>435</v>
      </c>
      <c r="H133" s="79"/>
      <c r="I133" s="79">
        <f>SUM(G133:H133)</f>
        <v>435</v>
      </c>
      <c r="J133" s="79"/>
      <c r="K133" s="79">
        <f>SUM(I133:J133)</f>
        <v>435</v>
      </c>
      <c r="L133" s="79"/>
      <c r="M133" s="79">
        <f>SUM(K133:L133)</f>
        <v>435</v>
      </c>
      <c r="N133" s="79"/>
      <c r="O133" s="79">
        <f>SUM(M133:N133)</f>
        <v>435</v>
      </c>
      <c r="P133" s="79"/>
      <c r="Q133" s="79">
        <f>SUM(O133:P133)</f>
        <v>435</v>
      </c>
      <c r="R133" s="79"/>
      <c r="S133" s="79">
        <f>SUM(Q133:R133)</f>
        <v>435</v>
      </c>
    </row>
    <row r="134" spans="1:19" s="26" customFormat="1" ht="19.5" customHeight="1">
      <c r="A134" s="84"/>
      <c r="B134" s="80"/>
      <c r="C134" s="84">
        <v>4120</v>
      </c>
      <c r="D134" s="41" t="s">
        <v>85</v>
      </c>
      <c r="E134" s="79">
        <v>70</v>
      </c>
      <c r="F134" s="79"/>
      <c r="G134" s="79">
        <f>SUM(E134:F134)</f>
        <v>70</v>
      </c>
      <c r="H134" s="79"/>
      <c r="I134" s="79">
        <f>SUM(G134:H134)</f>
        <v>70</v>
      </c>
      <c r="J134" s="79"/>
      <c r="K134" s="79">
        <f>SUM(I134:J134)</f>
        <v>70</v>
      </c>
      <c r="L134" s="79"/>
      <c r="M134" s="79">
        <f>SUM(K134:L134)</f>
        <v>70</v>
      </c>
      <c r="N134" s="79"/>
      <c r="O134" s="79">
        <f>SUM(M134:N134)</f>
        <v>70</v>
      </c>
      <c r="P134" s="79"/>
      <c r="Q134" s="79">
        <f>SUM(O134:P134)</f>
        <v>70</v>
      </c>
      <c r="R134" s="79"/>
      <c r="S134" s="79">
        <f>SUM(Q134:R134)</f>
        <v>70</v>
      </c>
    </row>
    <row r="135" spans="1:19" s="26" customFormat="1" ht="19.5" customHeight="1">
      <c r="A135" s="84"/>
      <c r="B135" s="80"/>
      <c r="C135" s="84">
        <v>4300</v>
      </c>
      <c r="D135" s="41" t="s">
        <v>77</v>
      </c>
      <c r="E135" s="79">
        <v>500</v>
      </c>
      <c r="F135" s="79"/>
      <c r="G135" s="79">
        <f>SUM(E135:F135)</f>
        <v>500</v>
      </c>
      <c r="H135" s="79"/>
      <c r="I135" s="79">
        <f>SUM(G135:H135)</f>
        <v>500</v>
      </c>
      <c r="J135" s="79"/>
      <c r="K135" s="79">
        <f>SUM(I135:J135)</f>
        <v>500</v>
      </c>
      <c r="L135" s="79"/>
      <c r="M135" s="79">
        <f>SUM(K135:L135)</f>
        <v>500</v>
      </c>
      <c r="N135" s="79"/>
      <c r="O135" s="79">
        <f>SUM(M135:N135)</f>
        <v>500</v>
      </c>
      <c r="P135" s="79"/>
      <c r="Q135" s="79">
        <f>SUM(O135:P135)</f>
        <v>500</v>
      </c>
      <c r="R135" s="79"/>
      <c r="S135" s="79">
        <f>SUM(Q135:R135)</f>
        <v>500</v>
      </c>
    </row>
    <row r="136" spans="1:19" s="26" customFormat="1" ht="19.5" customHeight="1">
      <c r="A136" s="84"/>
      <c r="B136" s="80">
        <v>75108</v>
      </c>
      <c r="C136" s="84"/>
      <c r="D136" s="41" t="s">
        <v>338</v>
      </c>
      <c r="E136" s="79">
        <f aca="true" t="shared" si="79" ref="E136:K136">SUM(E137:E144)</f>
        <v>0</v>
      </c>
      <c r="F136" s="79">
        <f t="shared" si="79"/>
        <v>46434</v>
      </c>
      <c r="G136" s="79">
        <f t="shared" si="79"/>
        <v>46434</v>
      </c>
      <c r="H136" s="79">
        <f t="shared" si="79"/>
        <v>0</v>
      </c>
      <c r="I136" s="79">
        <f t="shared" si="79"/>
        <v>46434</v>
      </c>
      <c r="J136" s="79">
        <f t="shared" si="79"/>
        <v>0</v>
      </c>
      <c r="K136" s="79">
        <f t="shared" si="79"/>
        <v>46434</v>
      </c>
      <c r="L136" s="79">
        <f aca="true" t="shared" si="80" ref="L136:Q136">SUM(L137:L144)</f>
        <v>0</v>
      </c>
      <c r="M136" s="79">
        <f t="shared" si="80"/>
        <v>46434</v>
      </c>
      <c r="N136" s="79">
        <f t="shared" si="80"/>
        <v>0</v>
      </c>
      <c r="O136" s="79">
        <f t="shared" si="80"/>
        <v>46434</v>
      </c>
      <c r="P136" s="79">
        <f t="shared" si="80"/>
        <v>0</v>
      </c>
      <c r="Q136" s="79">
        <f t="shared" si="80"/>
        <v>46434</v>
      </c>
      <c r="R136" s="79">
        <f>SUM(R137:R144)</f>
        <v>0</v>
      </c>
      <c r="S136" s="79">
        <f>SUM(S137:S144)</f>
        <v>46434</v>
      </c>
    </row>
    <row r="137" spans="1:19" s="26" customFormat="1" ht="19.5" customHeight="1">
      <c r="A137" s="84"/>
      <c r="B137" s="80"/>
      <c r="C137" s="84">
        <v>3030</v>
      </c>
      <c r="D137" s="41" t="s">
        <v>87</v>
      </c>
      <c r="E137" s="79">
        <v>0</v>
      </c>
      <c r="F137" s="79">
        <v>27540</v>
      </c>
      <c r="G137" s="79">
        <f aca="true" t="shared" si="81" ref="G137:G144">SUM(E137:F137)</f>
        <v>27540</v>
      </c>
      <c r="H137" s="79"/>
      <c r="I137" s="79">
        <f aca="true" t="shared" si="82" ref="I137:I144">SUM(G137:H137)</f>
        <v>27540</v>
      </c>
      <c r="J137" s="79"/>
      <c r="K137" s="79">
        <f aca="true" t="shared" si="83" ref="K137:K144">SUM(I137:J137)</f>
        <v>27540</v>
      </c>
      <c r="L137" s="79"/>
      <c r="M137" s="79">
        <f aca="true" t="shared" si="84" ref="M137:M144">SUM(K137:L137)</f>
        <v>27540</v>
      </c>
      <c r="N137" s="79"/>
      <c r="O137" s="79">
        <f aca="true" t="shared" si="85" ref="O137:O144">SUM(M137:N137)</f>
        <v>27540</v>
      </c>
      <c r="P137" s="79"/>
      <c r="Q137" s="79">
        <f aca="true" t="shared" si="86" ref="Q137:Q144">SUM(O137:P137)</f>
        <v>27540</v>
      </c>
      <c r="R137" s="79"/>
      <c r="S137" s="79">
        <f aca="true" t="shared" si="87" ref="S137:S144">SUM(Q137:R137)</f>
        <v>27540</v>
      </c>
    </row>
    <row r="138" spans="1:19" s="26" customFormat="1" ht="19.5" customHeight="1">
      <c r="A138" s="84"/>
      <c r="B138" s="80"/>
      <c r="C138" s="84">
        <v>4110</v>
      </c>
      <c r="D138" s="41" t="s">
        <v>84</v>
      </c>
      <c r="E138" s="79">
        <v>0</v>
      </c>
      <c r="F138" s="79">
        <v>936</v>
      </c>
      <c r="G138" s="79">
        <f t="shared" si="81"/>
        <v>936</v>
      </c>
      <c r="H138" s="79"/>
      <c r="I138" s="79">
        <f t="shared" si="82"/>
        <v>936</v>
      </c>
      <c r="J138" s="79"/>
      <c r="K138" s="79">
        <f t="shared" si="83"/>
        <v>936</v>
      </c>
      <c r="L138" s="79"/>
      <c r="M138" s="79">
        <f t="shared" si="84"/>
        <v>936</v>
      </c>
      <c r="N138" s="79"/>
      <c r="O138" s="79">
        <f t="shared" si="85"/>
        <v>936</v>
      </c>
      <c r="P138" s="79"/>
      <c r="Q138" s="79">
        <f t="shared" si="86"/>
        <v>936</v>
      </c>
      <c r="R138" s="79"/>
      <c r="S138" s="79">
        <f t="shared" si="87"/>
        <v>936</v>
      </c>
    </row>
    <row r="139" spans="1:19" s="26" customFormat="1" ht="19.5" customHeight="1">
      <c r="A139" s="84"/>
      <c r="B139" s="80"/>
      <c r="C139" s="84">
        <v>4120</v>
      </c>
      <c r="D139" s="41" t="s">
        <v>85</v>
      </c>
      <c r="E139" s="79">
        <v>0</v>
      </c>
      <c r="F139" s="79">
        <v>151</v>
      </c>
      <c r="G139" s="79">
        <f t="shared" si="81"/>
        <v>151</v>
      </c>
      <c r="H139" s="79"/>
      <c r="I139" s="79">
        <f t="shared" si="82"/>
        <v>151</v>
      </c>
      <c r="J139" s="79"/>
      <c r="K139" s="79">
        <f t="shared" si="83"/>
        <v>151</v>
      </c>
      <c r="L139" s="79"/>
      <c r="M139" s="79">
        <f t="shared" si="84"/>
        <v>151</v>
      </c>
      <c r="N139" s="79"/>
      <c r="O139" s="79">
        <f t="shared" si="85"/>
        <v>151</v>
      </c>
      <c r="P139" s="79"/>
      <c r="Q139" s="79">
        <f t="shared" si="86"/>
        <v>151</v>
      </c>
      <c r="R139" s="79"/>
      <c r="S139" s="79">
        <f t="shared" si="87"/>
        <v>151</v>
      </c>
    </row>
    <row r="140" spans="1:19" s="26" customFormat="1" ht="19.5" customHeight="1">
      <c r="A140" s="84"/>
      <c r="B140" s="80"/>
      <c r="C140" s="84">
        <v>4170</v>
      </c>
      <c r="D140" s="41" t="s">
        <v>193</v>
      </c>
      <c r="E140" s="79">
        <v>0</v>
      </c>
      <c r="F140" s="79">
        <v>8390</v>
      </c>
      <c r="G140" s="79">
        <f t="shared" si="81"/>
        <v>8390</v>
      </c>
      <c r="H140" s="79"/>
      <c r="I140" s="79">
        <f t="shared" si="82"/>
        <v>8390</v>
      </c>
      <c r="J140" s="79"/>
      <c r="K140" s="79">
        <f t="shared" si="83"/>
        <v>8390</v>
      </c>
      <c r="L140" s="79"/>
      <c r="M140" s="79">
        <f t="shared" si="84"/>
        <v>8390</v>
      </c>
      <c r="N140" s="79"/>
      <c r="O140" s="79">
        <f t="shared" si="85"/>
        <v>8390</v>
      </c>
      <c r="P140" s="79"/>
      <c r="Q140" s="79">
        <f t="shared" si="86"/>
        <v>8390</v>
      </c>
      <c r="R140" s="79"/>
      <c r="S140" s="79">
        <f t="shared" si="87"/>
        <v>8390</v>
      </c>
    </row>
    <row r="141" spans="1:19" s="26" customFormat="1" ht="19.5" customHeight="1">
      <c r="A141" s="84"/>
      <c r="B141" s="80"/>
      <c r="C141" s="84">
        <v>4210</v>
      </c>
      <c r="D141" s="41" t="s">
        <v>90</v>
      </c>
      <c r="E141" s="79">
        <v>0</v>
      </c>
      <c r="F141" s="79">
        <v>6460</v>
      </c>
      <c r="G141" s="79">
        <f t="shared" si="81"/>
        <v>6460</v>
      </c>
      <c r="H141" s="79"/>
      <c r="I141" s="79">
        <f t="shared" si="82"/>
        <v>6460</v>
      </c>
      <c r="J141" s="79"/>
      <c r="K141" s="79">
        <f t="shared" si="83"/>
        <v>6460</v>
      </c>
      <c r="L141" s="79"/>
      <c r="M141" s="79">
        <f t="shared" si="84"/>
        <v>6460</v>
      </c>
      <c r="N141" s="79"/>
      <c r="O141" s="79">
        <f t="shared" si="85"/>
        <v>6460</v>
      </c>
      <c r="P141" s="79"/>
      <c r="Q141" s="79">
        <f t="shared" si="86"/>
        <v>6460</v>
      </c>
      <c r="R141" s="79"/>
      <c r="S141" s="79">
        <f t="shared" si="87"/>
        <v>6460</v>
      </c>
    </row>
    <row r="142" spans="1:19" s="26" customFormat="1" ht="19.5" customHeight="1">
      <c r="A142" s="84"/>
      <c r="B142" s="80"/>
      <c r="C142" s="84">
        <v>4300</v>
      </c>
      <c r="D142" s="41" t="s">
        <v>77</v>
      </c>
      <c r="E142" s="79">
        <v>0</v>
      </c>
      <c r="F142" s="79">
        <v>1147</v>
      </c>
      <c r="G142" s="79">
        <f t="shared" si="81"/>
        <v>1147</v>
      </c>
      <c r="H142" s="79"/>
      <c r="I142" s="79">
        <f t="shared" si="82"/>
        <v>1147</v>
      </c>
      <c r="J142" s="79"/>
      <c r="K142" s="79">
        <f t="shared" si="83"/>
        <v>1147</v>
      </c>
      <c r="L142" s="79"/>
      <c r="M142" s="79">
        <f t="shared" si="84"/>
        <v>1147</v>
      </c>
      <c r="N142" s="79"/>
      <c r="O142" s="79">
        <f t="shared" si="85"/>
        <v>1147</v>
      </c>
      <c r="P142" s="79"/>
      <c r="Q142" s="79">
        <f t="shared" si="86"/>
        <v>1147</v>
      </c>
      <c r="R142" s="79"/>
      <c r="S142" s="79">
        <f t="shared" si="87"/>
        <v>1147</v>
      </c>
    </row>
    <row r="143" spans="1:19" s="26" customFormat="1" ht="19.5" customHeight="1">
      <c r="A143" s="84"/>
      <c r="B143" s="80"/>
      <c r="C143" s="84">
        <v>4410</v>
      </c>
      <c r="D143" s="41" t="s">
        <v>88</v>
      </c>
      <c r="E143" s="79">
        <v>0</v>
      </c>
      <c r="F143" s="79">
        <v>1800</v>
      </c>
      <c r="G143" s="79">
        <f t="shared" si="81"/>
        <v>1800</v>
      </c>
      <c r="H143" s="79"/>
      <c r="I143" s="79">
        <f t="shared" si="82"/>
        <v>1800</v>
      </c>
      <c r="J143" s="79"/>
      <c r="K143" s="79">
        <f t="shared" si="83"/>
        <v>1800</v>
      </c>
      <c r="L143" s="79"/>
      <c r="M143" s="79">
        <f t="shared" si="84"/>
        <v>1800</v>
      </c>
      <c r="N143" s="79"/>
      <c r="O143" s="79">
        <f t="shared" si="85"/>
        <v>1800</v>
      </c>
      <c r="P143" s="79"/>
      <c r="Q143" s="79">
        <f t="shared" si="86"/>
        <v>1800</v>
      </c>
      <c r="R143" s="79"/>
      <c r="S143" s="79">
        <f t="shared" si="87"/>
        <v>1800</v>
      </c>
    </row>
    <row r="144" spans="1:19" s="26" customFormat="1" ht="19.5" customHeight="1">
      <c r="A144" s="84"/>
      <c r="B144" s="80"/>
      <c r="C144" s="84">
        <v>4780</v>
      </c>
      <c r="D144" s="41" t="s">
        <v>318</v>
      </c>
      <c r="E144" s="79">
        <v>0</v>
      </c>
      <c r="F144" s="79">
        <v>10</v>
      </c>
      <c r="G144" s="79">
        <f t="shared" si="81"/>
        <v>10</v>
      </c>
      <c r="H144" s="79"/>
      <c r="I144" s="79">
        <f t="shared" si="82"/>
        <v>10</v>
      </c>
      <c r="J144" s="79"/>
      <c r="K144" s="79">
        <f t="shared" si="83"/>
        <v>10</v>
      </c>
      <c r="L144" s="79"/>
      <c r="M144" s="79">
        <f t="shared" si="84"/>
        <v>10</v>
      </c>
      <c r="N144" s="79"/>
      <c r="O144" s="79">
        <f t="shared" si="85"/>
        <v>10</v>
      </c>
      <c r="P144" s="79"/>
      <c r="Q144" s="79">
        <f t="shared" si="86"/>
        <v>10</v>
      </c>
      <c r="R144" s="79"/>
      <c r="S144" s="79">
        <f t="shared" si="87"/>
        <v>10</v>
      </c>
    </row>
    <row r="145" spans="1:19" s="8" customFormat="1" ht="24.75" customHeight="1">
      <c r="A145" s="36" t="s">
        <v>22</v>
      </c>
      <c r="B145" s="37"/>
      <c r="C145" s="38"/>
      <c r="D145" s="39" t="s">
        <v>23</v>
      </c>
      <c r="E145" s="40">
        <f>SUM(E149,E164,E185,E146)</f>
        <v>474422</v>
      </c>
      <c r="F145" s="40">
        <f>SUM(F149,F164,F185,F146)</f>
        <v>415000</v>
      </c>
      <c r="G145" s="40">
        <f aca="true" t="shared" si="88" ref="G145:M145">SUM(G149,G164,G185,G146,G182)</f>
        <v>889422</v>
      </c>
      <c r="H145" s="40">
        <f t="shared" si="88"/>
        <v>2500</v>
      </c>
      <c r="I145" s="40">
        <f t="shared" si="88"/>
        <v>891922</v>
      </c>
      <c r="J145" s="40">
        <f t="shared" si="88"/>
        <v>0</v>
      </c>
      <c r="K145" s="40">
        <f t="shared" si="88"/>
        <v>891922</v>
      </c>
      <c r="L145" s="40">
        <f t="shared" si="88"/>
        <v>0</v>
      </c>
      <c r="M145" s="40">
        <f t="shared" si="88"/>
        <v>891922</v>
      </c>
      <c r="N145" s="40">
        <f aca="true" t="shared" si="89" ref="N145:S145">SUM(N149,N164,N185,N146,N182)</f>
        <v>0</v>
      </c>
      <c r="O145" s="40">
        <f t="shared" si="89"/>
        <v>891922</v>
      </c>
      <c r="P145" s="40">
        <f t="shared" si="89"/>
        <v>10092</v>
      </c>
      <c r="Q145" s="40">
        <f t="shared" si="89"/>
        <v>902014</v>
      </c>
      <c r="R145" s="40">
        <f t="shared" si="89"/>
        <v>0</v>
      </c>
      <c r="S145" s="40">
        <f t="shared" si="89"/>
        <v>902014</v>
      </c>
    </row>
    <row r="146" spans="1:19" s="132" customFormat="1" ht="24.75" customHeight="1">
      <c r="A146" s="145"/>
      <c r="B146" s="177">
        <v>75411</v>
      </c>
      <c r="C146" s="166"/>
      <c r="D146" s="136" t="s">
        <v>355</v>
      </c>
      <c r="E146" s="178">
        <f>SUM(E147)</f>
        <v>0</v>
      </c>
      <c r="F146" s="178">
        <f>SUM(F147)</f>
        <v>25000</v>
      </c>
      <c r="G146" s="178">
        <f>SUM(G147)</f>
        <v>25000</v>
      </c>
      <c r="H146" s="178">
        <f>SUM(H147)</f>
        <v>0</v>
      </c>
      <c r="I146" s="178">
        <f aca="true" t="shared" si="90" ref="I146:O146">SUM(I147:I148)</f>
        <v>25000</v>
      </c>
      <c r="J146" s="178">
        <f t="shared" si="90"/>
        <v>0</v>
      </c>
      <c r="K146" s="178">
        <f t="shared" si="90"/>
        <v>25000</v>
      </c>
      <c r="L146" s="178">
        <f t="shared" si="90"/>
        <v>0</v>
      </c>
      <c r="M146" s="178">
        <f t="shared" si="90"/>
        <v>25000</v>
      </c>
      <c r="N146" s="178">
        <f t="shared" si="90"/>
        <v>0</v>
      </c>
      <c r="O146" s="178">
        <f t="shared" si="90"/>
        <v>25000</v>
      </c>
      <c r="P146" s="178">
        <f>SUM(P147:P148)</f>
        <v>0</v>
      </c>
      <c r="Q146" s="178">
        <f>SUM(Q147:Q148)</f>
        <v>25000</v>
      </c>
      <c r="R146" s="178">
        <f>SUM(R147:R148)</f>
        <v>0</v>
      </c>
      <c r="S146" s="178">
        <f>SUM(S147:S148)</f>
        <v>25000</v>
      </c>
    </row>
    <row r="147" spans="1:19" s="132" customFormat="1" ht="45">
      <c r="A147" s="145"/>
      <c r="B147" s="166"/>
      <c r="C147" s="195">
        <v>6620</v>
      </c>
      <c r="D147" s="136" t="s">
        <v>354</v>
      </c>
      <c r="E147" s="178">
        <v>0</v>
      </c>
      <c r="F147" s="178">
        <v>25000</v>
      </c>
      <c r="G147" s="178">
        <f>SUM(E147:F147)</f>
        <v>25000</v>
      </c>
      <c r="H147" s="178"/>
      <c r="I147" s="178">
        <f>SUM(G147:H147)</f>
        <v>25000</v>
      </c>
      <c r="J147" s="178">
        <v>-25000</v>
      </c>
      <c r="K147" s="178">
        <f>SUM(I147:J147)</f>
        <v>0</v>
      </c>
      <c r="L147" s="178"/>
      <c r="M147" s="178">
        <f>SUM(K147:L147)</f>
        <v>0</v>
      </c>
      <c r="N147" s="178"/>
      <c r="O147" s="178">
        <f>SUM(M147:N147)</f>
        <v>0</v>
      </c>
      <c r="P147" s="178"/>
      <c r="Q147" s="178">
        <f>SUM(O147:P147)</f>
        <v>0</v>
      </c>
      <c r="R147" s="178"/>
      <c r="S147" s="178">
        <f>SUM(Q147:R147)</f>
        <v>0</v>
      </c>
    </row>
    <row r="148" spans="1:19" s="132" customFormat="1" ht="24" customHeight="1">
      <c r="A148" s="145"/>
      <c r="B148" s="177"/>
      <c r="C148" s="195">
        <v>6170</v>
      </c>
      <c r="D148" s="136" t="s">
        <v>392</v>
      </c>
      <c r="E148" s="178"/>
      <c r="F148" s="178"/>
      <c r="G148" s="178"/>
      <c r="H148" s="178"/>
      <c r="I148" s="178">
        <v>0</v>
      </c>
      <c r="J148" s="178">
        <v>25000</v>
      </c>
      <c r="K148" s="178">
        <f>SUM(I148:J148)</f>
        <v>25000</v>
      </c>
      <c r="L148" s="178"/>
      <c r="M148" s="178">
        <f>SUM(K148:L148)</f>
        <v>25000</v>
      </c>
      <c r="N148" s="178"/>
      <c r="O148" s="178">
        <f>SUM(M148:N148)</f>
        <v>25000</v>
      </c>
      <c r="P148" s="178"/>
      <c r="Q148" s="178">
        <f>SUM(O148:P148)</f>
        <v>25000</v>
      </c>
      <c r="R148" s="178"/>
      <c r="S148" s="178">
        <f>SUM(Q148:R148)</f>
        <v>25000</v>
      </c>
    </row>
    <row r="149" spans="1:19" s="132" customFormat="1" ht="21.75" customHeight="1">
      <c r="A149" s="166"/>
      <c r="B149" s="146" t="s">
        <v>97</v>
      </c>
      <c r="C149" s="166"/>
      <c r="D149" s="148" t="s">
        <v>98</v>
      </c>
      <c r="E149" s="178">
        <f aca="true" t="shared" si="91" ref="E149:K149">SUM(E151:E163)</f>
        <v>156100</v>
      </c>
      <c r="F149" s="178">
        <f t="shared" si="91"/>
        <v>390000</v>
      </c>
      <c r="G149" s="178">
        <f t="shared" si="91"/>
        <v>546100</v>
      </c>
      <c r="H149" s="178">
        <f t="shared" si="91"/>
        <v>0</v>
      </c>
      <c r="I149" s="178">
        <f t="shared" si="91"/>
        <v>546100</v>
      </c>
      <c r="J149" s="178">
        <f t="shared" si="91"/>
        <v>0</v>
      </c>
      <c r="K149" s="178">
        <f t="shared" si="91"/>
        <v>546100</v>
      </c>
      <c r="L149" s="178">
        <f>SUM(L151:L163)</f>
        <v>0</v>
      </c>
      <c r="M149" s="178">
        <f>SUM(M151:M163)</f>
        <v>546100</v>
      </c>
      <c r="N149" s="178">
        <f>SUM(N151:N163)</f>
        <v>0</v>
      </c>
      <c r="O149" s="178">
        <f>SUM(O150:O163)</f>
        <v>546100</v>
      </c>
      <c r="P149" s="178">
        <f>SUM(P150:P163)</f>
        <v>7000</v>
      </c>
      <c r="Q149" s="178">
        <f>SUM(Q150:Q163)</f>
        <v>553100</v>
      </c>
      <c r="R149" s="178">
        <f>SUM(R150:R163)</f>
        <v>0</v>
      </c>
      <c r="S149" s="178">
        <f>SUM(S150:S163)</f>
        <v>553100</v>
      </c>
    </row>
    <row r="150" spans="1:19" s="132" customFormat="1" ht="33.75">
      <c r="A150" s="166"/>
      <c r="B150" s="146"/>
      <c r="C150" s="166">
        <v>2820</v>
      </c>
      <c r="D150" s="148" t="s">
        <v>483</v>
      </c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>
        <v>0</v>
      </c>
      <c r="P150" s="178">
        <v>8168</v>
      </c>
      <c r="Q150" s="79">
        <f>SUM(O150:P150)</f>
        <v>8168</v>
      </c>
      <c r="R150" s="178"/>
      <c r="S150" s="79">
        <f>SUM(Q150:R150)</f>
        <v>8168</v>
      </c>
    </row>
    <row r="151" spans="1:19" s="26" customFormat="1" ht="21" customHeight="1">
      <c r="A151" s="84"/>
      <c r="B151" s="80"/>
      <c r="C151" s="84">
        <v>3020</v>
      </c>
      <c r="D151" s="41" t="s">
        <v>190</v>
      </c>
      <c r="E151" s="79">
        <f>3500+10000</f>
        <v>13500</v>
      </c>
      <c r="F151" s="79"/>
      <c r="G151" s="79">
        <f>SUM(E151:F151)</f>
        <v>13500</v>
      </c>
      <c r="H151" s="79"/>
      <c r="I151" s="79">
        <f>SUM(G151:H151)</f>
        <v>13500</v>
      </c>
      <c r="J151" s="79"/>
      <c r="K151" s="79">
        <f>SUM(I151:J151)</f>
        <v>13500</v>
      </c>
      <c r="L151" s="79">
        <v>-5000</v>
      </c>
      <c r="M151" s="79">
        <f>SUM(K151:L151)</f>
        <v>8500</v>
      </c>
      <c r="N151" s="79"/>
      <c r="O151" s="79">
        <f>SUM(M151:N151)</f>
        <v>8500</v>
      </c>
      <c r="P151" s="79"/>
      <c r="Q151" s="79">
        <f>SUM(O151:P151)</f>
        <v>8500</v>
      </c>
      <c r="R151" s="79">
        <v>-5000</v>
      </c>
      <c r="S151" s="79">
        <f>SUM(Q151:R151)</f>
        <v>3500</v>
      </c>
    </row>
    <row r="152" spans="1:19" s="26" customFormat="1" ht="21" customHeight="1">
      <c r="A152" s="84"/>
      <c r="B152" s="80"/>
      <c r="C152" s="84">
        <v>3030</v>
      </c>
      <c r="D152" s="41" t="s">
        <v>87</v>
      </c>
      <c r="E152" s="79">
        <v>15000</v>
      </c>
      <c r="F152" s="79"/>
      <c r="G152" s="79">
        <f aca="true" t="shared" si="92" ref="G152:G163">SUM(E152:F152)</f>
        <v>15000</v>
      </c>
      <c r="H152" s="79"/>
      <c r="I152" s="79">
        <f aca="true" t="shared" si="93" ref="I152:I163">SUM(G152:H152)</f>
        <v>15000</v>
      </c>
      <c r="J152" s="79"/>
      <c r="K152" s="79">
        <f aca="true" t="shared" si="94" ref="K152:K163">SUM(I152:J152)</f>
        <v>15000</v>
      </c>
      <c r="L152" s="79"/>
      <c r="M152" s="79">
        <f aca="true" t="shared" si="95" ref="M152:M163">SUM(K152:L152)</f>
        <v>15000</v>
      </c>
      <c r="N152" s="79">
        <v>10000</v>
      </c>
      <c r="O152" s="79">
        <f aca="true" t="shared" si="96" ref="O152:O163">SUM(M152:N152)</f>
        <v>25000</v>
      </c>
      <c r="P152" s="79">
        <v>5000</v>
      </c>
      <c r="Q152" s="79">
        <f aca="true" t="shared" si="97" ref="Q152:Q163">SUM(O152:P152)</f>
        <v>30000</v>
      </c>
      <c r="R152" s="79">
        <v>5000</v>
      </c>
      <c r="S152" s="79">
        <f aca="true" t="shared" si="98" ref="S152:S163">SUM(Q152:R152)</f>
        <v>35000</v>
      </c>
    </row>
    <row r="153" spans="1:19" s="26" customFormat="1" ht="21" customHeight="1">
      <c r="A153" s="84"/>
      <c r="B153" s="80"/>
      <c r="C153" s="84">
        <v>4110</v>
      </c>
      <c r="D153" s="41" t="s">
        <v>84</v>
      </c>
      <c r="E153" s="79">
        <v>5511</v>
      </c>
      <c r="F153" s="79"/>
      <c r="G153" s="79">
        <f t="shared" si="92"/>
        <v>5511</v>
      </c>
      <c r="H153" s="79"/>
      <c r="I153" s="79">
        <f t="shared" si="93"/>
        <v>5511</v>
      </c>
      <c r="J153" s="79"/>
      <c r="K153" s="79">
        <f t="shared" si="94"/>
        <v>5511</v>
      </c>
      <c r="L153" s="79"/>
      <c r="M153" s="79">
        <f t="shared" si="95"/>
        <v>5511</v>
      </c>
      <c r="N153" s="79"/>
      <c r="O153" s="79">
        <f t="shared" si="96"/>
        <v>5511</v>
      </c>
      <c r="P153" s="79">
        <v>-4205</v>
      </c>
      <c r="Q153" s="79">
        <f t="shared" si="97"/>
        <v>1306</v>
      </c>
      <c r="R153" s="79"/>
      <c r="S153" s="79">
        <f t="shared" si="98"/>
        <v>1306</v>
      </c>
    </row>
    <row r="154" spans="1:19" s="26" customFormat="1" ht="21" customHeight="1">
      <c r="A154" s="84"/>
      <c r="B154" s="80"/>
      <c r="C154" s="84">
        <v>4120</v>
      </c>
      <c r="D154" s="41" t="s">
        <v>213</v>
      </c>
      <c r="E154" s="79">
        <v>890</v>
      </c>
      <c r="F154" s="79"/>
      <c r="G154" s="79">
        <f t="shared" si="92"/>
        <v>890</v>
      </c>
      <c r="H154" s="79"/>
      <c r="I154" s="79">
        <f t="shared" si="93"/>
        <v>890</v>
      </c>
      <c r="J154" s="79"/>
      <c r="K154" s="79">
        <f t="shared" si="94"/>
        <v>890</v>
      </c>
      <c r="L154" s="79"/>
      <c r="M154" s="79">
        <f t="shared" si="95"/>
        <v>890</v>
      </c>
      <c r="N154" s="79"/>
      <c r="O154" s="79">
        <f t="shared" si="96"/>
        <v>890</v>
      </c>
      <c r="P154" s="79">
        <v>-890</v>
      </c>
      <c r="Q154" s="79">
        <f t="shared" si="97"/>
        <v>0</v>
      </c>
      <c r="R154" s="79"/>
      <c r="S154" s="79">
        <f t="shared" si="98"/>
        <v>0</v>
      </c>
    </row>
    <row r="155" spans="1:19" s="26" customFormat="1" ht="21" customHeight="1">
      <c r="A155" s="84"/>
      <c r="B155" s="80"/>
      <c r="C155" s="66">
        <v>4170</v>
      </c>
      <c r="D155" s="41" t="s">
        <v>193</v>
      </c>
      <c r="E155" s="79">
        <v>36259</v>
      </c>
      <c r="F155" s="79"/>
      <c r="G155" s="79">
        <f t="shared" si="92"/>
        <v>36259</v>
      </c>
      <c r="H155" s="79"/>
      <c r="I155" s="79">
        <f t="shared" si="93"/>
        <v>36259</v>
      </c>
      <c r="J155" s="79"/>
      <c r="K155" s="79">
        <f t="shared" si="94"/>
        <v>36259</v>
      </c>
      <c r="L155" s="79"/>
      <c r="M155" s="79">
        <f t="shared" si="95"/>
        <v>36259</v>
      </c>
      <c r="N155" s="79"/>
      <c r="O155" s="79">
        <f t="shared" si="96"/>
        <v>36259</v>
      </c>
      <c r="P155" s="79">
        <v>-3073</v>
      </c>
      <c r="Q155" s="79">
        <f t="shared" si="97"/>
        <v>33186</v>
      </c>
      <c r="R155" s="79"/>
      <c r="S155" s="79">
        <f t="shared" si="98"/>
        <v>33186</v>
      </c>
    </row>
    <row r="156" spans="1:19" s="26" customFormat="1" ht="21" customHeight="1">
      <c r="A156" s="84"/>
      <c r="B156" s="80"/>
      <c r="C156" s="66">
        <v>4210</v>
      </c>
      <c r="D156" s="41" t="s">
        <v>90</v>
      </c>
      <c r="E156" s="79">
        <f>1000+1600+32800-10000</f>
        <v>25400</v>
      </c>
      <c r="F156" s="79"/>
      <c r="G156" s="79">
        <f t="shared" si="92"/>
        <v>25400</v>
      </c>
      <c r="H156" s="79"/>
      <c r="I156" s="79">
        <f t="shared" si="93"/>
        <v>25400</v>
      </c>
      <c r="J156" s="79"/>
      <c r="K156" s="79">
        <f t="shared" si="94"/>
        <v>25400</v>
      </c>
      <c r="L156" s="79"/>
      <c r="M156" s="79">
        <f t="shared" si="95"/>
        <v>25400</v>
      </c>
      <c r="N156" s="79">
        <v>-370</v>
      </c>
      <c r="O156" s="79">
        <f t="shared" si="96"/>
        <v>25030</v>
      </c>
      <c r="P156" s="79"/>
      <c r="Q156" s="79">
        <f t="shared" si="97"/>
        <v>25030</v>
      </c>
      <c r="R156" s="79"/>
      <c r="S156" s="79">
        <f t="shared" si="98"/>
        <v>25030</v>
      </c>
    </row>
    <row r="157" spans="1:19" s="26" customFormat="1" ht="21" customHeight="1">
      <c r="A157" s="84"/>
      <c r="B157" s="80"/>
      <c r="C157" s="66">
        <v>4260</v>
      </c>
      <c r="D157" s="41" t="s">
        <v>93</v>
      </c>
      <c r="E157" s="79">
        <v>11500</v>
      </c>
      <c r="F157" s="79"/>
      <c r="G157" s="79">
        <f t="shared" si="92"/>
        <v>11500</v>
      </c>
      <c r="H157" s="79"/>
      <c r="I157" s="79">
        <f t="shared" si="93"/>
        <v>11500</v>
      </c>
      <c r="J157" s="79"/>
      <c r="K157" s="79">
        <f t="shared" si="94"/>
        <v>11500</v>
      </c>
      <c r="L157" s="79">
        <v>10000</v>
      </c>
      <c r="M157" s="79">
        <f t="shared" si="95"/>
        <v>21500</v>
      </c>
      <c r="N157" s="79"/>
      <c r="O157" s="79">
        <f t="shared" si="96"/>
        <v>21500</v>
      </c>
      <c r="P157" s="79">
        <v>2000</v>
      </c>
      <c r="Q157" s="79">
        <f t="shared" si="97"/>
        <v>23500</v>
      </c>
      <c r="R157" s="79"/>
      <c r="S157" s="79">
        <f t="shared" si="98"/>
        <v>23500</v>
      </c>
    </row>
    <row r="158" spans="1:19" s="26" customFormat="1" ht="21" customHeight="1">
      <c r="A158" s="84"/>
      <c r="B158" s="80"/>
      <c r="C158" s="66">
        <v>4270</v>
      </c>
      <c r="D158" s="41" t="s">
        <v>76</v>
      </c>
      <c r="E158" s="79">
        <v>16000</v>
      </c>
      <c r="F158" s="79"/>
      <c r="G158" s="79">
        <f t="shared" si="92"/>
        <v>16000</v>
      </c>
      <c r="H158" s="79">
        <v>-400</v>
      </c>
      <c r="I158" s="79">
        <f t="shared" si="93"/>
        <v>15600</v>
      </c>
      <c r="J158" s="79"/>
      <c r="K158" s="79">
        <f t="shared" si="94"/>
        <v>15600</v>
      </c>
      <c r="L158" s="79">
        <v>-5000</v>
      </c>
      <c r="M158" s="79">
        <f t="shared" si="95"/>
        <v>10600</v>
      </c>
      <c r="N158" s="79">
        <v>-4000</v>
      </c>
      <c r="O158" s="79">
        <f t="shared" si="96"/>
        <v>6600</v>
      </c>
      <c r="P158" s="79"/>
      <c r="Q158" s="79">
        <f t="shared" si="97"/>
        <v>6600</v>
      </c>
      <c r="R158" s="79"/>
      <c r="S158" s="79">
        <f t="shared" si="98"/>
        <v>6600</v>
      </c>
    </row>
    <row r="159" spans="1:19" s="26" customFormat="1" ht="21" customHeight="1">
      <c r="A159" s="84"/>
      <c r="B159" s="80"/>
      <c r="C159" s="66">
        <v>4280</v>
      </c>
      <c r="D159" s="41" t="s">
        <v>212</v>
      </c>
      <c r="E159" s="79">
        <v>5600</v>
      </c>
      <c r="F159" s="79"/>
      <c r="G159" s="79">
        <f t="shared" si="92"/>
        <v>5600</v>
      </c>
      <c r="H159" s="79"/>
      <c r="I159" s="79">
        <f t="shared" si="93"/>
        <v>5600</v>
      </c>
      <c r="J159" s="79"/>
      <c r="K159" s="79">
        <f t="shared" si="94"/>
        <v>5600</v>
      </c>
      <c r="L159" s="79"/>
      <c r="M159" s="79">
        <f t="shared" si="95"/>
        <v>5600</v>
      </c>
      <c r="N159" s="79">
        <v>-2000</v>
      </c>
      <c r="O159" s="79">
        <f t="shared" si="96"/>
        <v>3600</v>
      </c>
      <c r="P159" s="79"/>
      <c r="Q159" s="79">
        <f t="shared" si="97"/>
        <v>3600</v>
      </c>
      <c r="R159" s="79"/>
      <c r="S159" s="79">
        <f t="shared" si="98"/>
        <v>3600</v>
      </c>
    </row>
    <row r="160" spans="1:19" s="26" customFormat="1" ht="21" customHeight="1">
      <c r="A160" s="84"/>
      <c r="B160" s="80"/>
      <c r="C160" s="66">
        <v>4300</v>
      </c>
      <c r="D160" s="41" t="s">
        <v>77</v>
      </c>
      <c r="E160" s="79">
        <v>6000</v>
      </c>
      <c r="F160" s="79"/>
      <c r="G160" s="79">
        <f t="shared" si="92"/>
        <v>6000</v>
      </c>
      <c r="H160" s="79"/>
      <c r="I160" s="79">
        <f t="shared" si="93"/>
        <v>6000</v>
      </c>
      <c r="J160" s="79"/>
      <c r="K160" s="79">
        <f t="shared" si="94"/>
        <v>6000</v>
      </c>
      <c r="L160" s="79"/>
      <c r="M160" s="79">
        <f t="shared" si="95"/>
        <v>6000</v>
      </c>
      <c r="N160" s="79">
        <v>370</v>
      </c>
      <c r="O160" s="79">
        <f t="shared" si="96"/>
        <v>6370</v>
      </c>
      <c r="P160" s="79"/>
      <c r="Q160" s="79">
        <f t="shared" si="97"/>
        <v>6370</v>
      </c>
      <c r="R160" s="79"/>
      <c r="S160" s="79">
        <f t="shared" si="98"/>
        <v>6370</v>
      </c>
    </row>
    <row r="161" spans="1:19" s="26" customFormat="1" ht="21" customHeight="1">
      <c r="A161" s="84"/>
      <c r="B161" s="80"/>
      <c r="C161" s="66">
        <v>4410</v>
      </c>
      <c r="D161" s="41" t="s">
        <v>88</v>
      </c>
      <c r="E161" s="79">
        <v>3600</v>
      </c>
      <c r="F161" s="79"/>
      <c r="G161" s="79">
        <f t="shared" si="92"/>
        <v>3600</v>
      </c>
      <c r="H161" s="79"/>
      <c r="I161" s="79">
        <f t="shared" si="93"/>
        <v>3600</v>
      </c>
      <c r="J161" s="79"/>
      <c r="K161" s="79">
        <f t="shared" si="94"/>
        <v>3600</v>
      </c>
      <c r="L161" s="79"/>
      <c r="M161" s="79">
        <f t="shared" si="95"/>
        <v>3600</v>
      </c>
      <c r="N161" s="79"/>
      <c r="O161" s="79">
        <f t="shared" si="96"/>
        <v>3600</v>
      </c>
      <c r="P161" s="79"/>
      <c r="Q161" s="79">
        <f t="shared" si="97"/>
        <v>3600</v>
      </c>
      <c r="R161" s="79"/>
      <c r="S161" s="79">
        <f t="shared" si="98"/>
        <v>3600</v>
      </c>
    </row>
    <row r="162" spans="1:19" s="26" customFormat="1" ht="21" customHeight="1">
      <c r="A162" s="84"/>
      <c r="B162" s="80"/>
      <c r="C162" s="66">
        <v>4430</v>
      </c>
      <c r="D162" s="41" t="s">
        <v>92</v>
      </c>
      <c r="E162" s="79">
        <v>16840</v>
      </c>
      <c r="F162" s="79"/>
      <c r="G162" s="79">
        <f t="shared" si="92"/>
        <v>16840</v>
      </c>
      <c r="H162" s="79">
        <v>400</v>
      </c>
      <c r="I162" s="79">
        <f t="shared" si="93"/>
        <v>17240</v>
      </c>
      <c r="J162" s="79"/>
      <c r="K162" s="79">
        <f t="shared" si="94"/>
        <v>17240</v>
      </c>
      <c r="L162" s="79"/>
      <c r="M162" s="79">
        <f t="shared" si="95"/>
        <v>17240</v>
      </c>
      <c r="N162" s="79">
        <v>-4000</v>
      </c>
      <c r="O162" s="79">
        <f t="shared" si="96"/>
        <v>13240</v>
      </c>
      <c r="P162" s="79"/>
      <c r="Q162" s="79">
        <f t="shared" si="97"/>
        <v>13240</v>
      </c>
      <c r="R162" s="79"/>
      <c r="S162" s="79">
        <f t="shared" si="98"/>
        <v>13240</v>
      </c>
    </row>
    <row r="163" spans="1:19" s="26" customFormat="1" ht="27" customHeight="1">
      <c r="A163" s="84"/>
      <c r="B163" s="80"/>
      <c r="C163" s="66">
        <v>6060</v>
      </c>
      <c r="D163" s="14" t="s">
        <v>94</v>
      </c>
      <c r="E163" s="79">
        <v>0</v>
      </c>
      <c r="F163" s="79">
        <v>390000</v>
      </c>
      <c r="G163" s="79">
        <f t="shared" si="92"/>
        <v>390000</v>
      </c>
      <c r="H163" s="79"/>
      <c r="I163" s="79">
        <f t="shared" si="93"/>
        <v>390000</v>
      </c>
      <c r="J163" s="79"/>
      <c r="K163" s="79">
        <f t="shared" si="94"/>
        <v>390000</v>
      </c>
      <c r="L163" s="79"/>
      <c r="M163" s="79">
        <f t="shared" si="95"/>
        <v>390000</v>
      </c>
      <c r="N163" s="79"/>
      <c r="O163" s="79">
        <f t="shared" si="96"/>
        <v>390000</v>
      </c>
      <c r="P163" s="79"/>
      <c r="Q163" s="79">
        <f t="shared" si="97"/>
        <v>390000</v>
      </c>
      <c r="R163" s="79"/>
      <c r="S163" s="79">
        <f t="shared" si="98"/>
        <v>390000</v>
      </c>
    </row>
    <row r="164" spans="1:19" s="26" customFormat="1" ht="21" customHeight="1">
      <c r="A164" s="84"/>
      <c r="B164" s="80">
        <v>75416</v>
      </c>
      <c r="C164" s="84"/>
      <c r="D164" s="41" t="s">
        <v>352</v>
      </c>
      <c r="E164" s="79">
        <f aca="true" t="shared" si="99" ref="E164:K164">SUM(E165:E181)</f>
        <v>309922</v>
      </c>
      <c r="F164" s="79">
        <f t="shared" si="99"/>
        <v>0</v>
      </c>
      <c r="G164" s="79">
        <f t="shared" si="99"/>
        <v>309922</v>
      </c>
      <c r="H164" s="79">
        <f t="shared" si="99"/>
        <v>0</v>
      </c>
      <c r="I164" s="79">
        <f t="shared" si="99"/>
        <v>309922</v>
      </c>
      <c r="J164" s="79">
        <f t="shared" si="99"/>
        <v>0</v>
      </c>
      <c r="K164" s="79">
        <f t="shared" si="99"/>
        <v>309922</v>
      </c>
      <c r="L164" s="79">
        <f aca="true" t="shared" si="100" ref="L164:Q164">SUM(L165:L181)</f>
        <v>0</v>
      </c>
      <c r="M164" s="79">
        <f t="shared" si="100"/>
        <v>309922</v>
      </c>
      <c r="N164" s="79">
        <f t="shared" si="100"/>
        <v>0</v>
      </c>
      <c r="O164" s="79">
        <f t="shared" si="100"/>
        <v>309922</v>
      </c>
      <c r="P164" s="79">
        <f t="shared" si="100"/>
        <v>-11908</v>
      </c>
      <c r="Q164" s="79">
        <f t="shared" si="100"/>
        <v>298014</v>
      </c>
      <c r="R164" s="79">
        <f>SUM(R165:R181)</f>
        <v>0</v>
      </c>
      <c r="S164" s="79">
        <f>SUM(S165:S181)</f>
        <v>298014</v>
      </c>
    </row>
    <row r="165" spans="1:19" s="26" customFormat="1" ht="21" customHeight="1">
      <c r="A165" s="84"/>
      <c r="B165" s="80"/>
      <c r="C165" s="66">
        <v>3020</v>
      </c>
      <c r="D165" s="41" t="s">
        <v>190</v>
      </c>
      <c r="E165" s="79">
        <v>19000</v>
      </c>
      <c r="F165" s="79"/>
      <c r="G165" s="79">
        <f>SUM(E165:F165)</f>
        <v>19000</v>
      </c>
      <c r="H165" s="79"/>
      <c r="I165" s="79">
        <f>SUM(G165:H165)</f>
        <v>19000</v>
      </c>
      <c r="J165" s="79"/>
      <c r="K165" s="79">
        <f>SUM(I165:J165)</f>
        <v>19000</v>
      </c>
      <c r="L165" s="79"/>
      <c r="M165" s="79">
        <f>SUM(K165:L165)</f>
        <v>19000</v>
      </c>
      <c r="N165" s="79"/>
      <c r="O165" s="79">
        <f>SUM(M165:N165)</f>
        <v>19000</v>
      </c>
      <c r="P165" s="79">
        <v>-4000</v>
      </c>
      <c r="Q165" s="79">
        <f>SUM(O165:P165)</f>
        <v>15000</v>
      </c>
      <c r="R165" s="79"/>
      <c r="S165" s="79">
        <f>SUM(Q165:R165)</f>
        <v>15000</v>
      </c>
    </row>
    <row r="166" spans="1:19" s="26" customFormat="1" ht="21" customHeight="1">
      <c r="A166" s="84"/>
      <c r="B166" s="80"/>
      <c r="C166" s="66">
        <v>4010</v>
      </c>
      <c r="D166" s="41" t="s">
        <v>82</v>
      </c>
      <c r="E166" s="79">
        <v>195100</v>
      </c>
      <c r="F166" s="79"/>
      <c r="G166" s="79">
        <f aca="true" t="shared" si="101" ref="G166:G181">SUM(E166:F166)</f>
        <v>195100</v>
      </c>
      <c r="H166" s="79"/>
      <c r="I166" s="79">
        <f aca="true" t="shared" si="102" ref="I166:I181">SUM(G166:H166)</f>
        <v>195100</v>
      </c>
      <c r="J166" s="79"/>
      <c r="K166" s="79">
        <f aca="true" t="shared" si="103" ref="K166:K181">SUM(I166:J166)</f>
        <v>195100</v>
      </c>
      <c r="L166" s="79"/>
      <c r="M166" s="79">
        <f aca="true" t="shared" si="104" ref="M166:M181">SUM(K166:L166)</f>
        <v>195100</v>
      </c>
      <c r="N166" s="79"/>
      <c r="O166" s="79">
        <f aca="true" t="shared" si="105" ref="O166:O181">SUM(M166:N166)</f>
        <v>195100</v>
      </c>
      <c r="P166" s="79">
        <v>-7000</v>
      </c>
      <c r="Q166" s="79">
        <f aca="true" t="shared" si="106" ref="Q166:Q181">SUM(O166:P166)</f>
        <v>188100</v>
      </c>
      <c r="R166" s="79"/>
      <c r="S166" s="79">
        <f aca="true" t="shared" si="107" ref="S166:S181">SUM(Q166:R166)</f>
        <v>188100</v>
      </c>
    </row>
    <row r="167" spans="1:19" s="26" customFormat="1" ht="21" customHeight="1">
      <c r="A167" s="84"/>
      <c r="B167" s="80"/>
      <c r="C167" s="66">
        <v>4040</v>
      </c>
      <c r="D167" s="41" t="s">
        <v>83</v>
      </c>
      <c r="E167" s="79">
        <v>14100</v>
      </c>
      <c r="F167" s="79"/>
      <c r="G167" s="79">
        <f t="shared" si="101"/>
        <v>14100</v>
      </c>
      <c r="H167" s="79"/>
      <c r="I167" s="79">
        <f t="shared" si="102"/>
        <v>14100</v>
      </c>
      <c r="J167" s="79"/>
      <c r="K167" s="79">
        <f t="shared" si="103"/>
        <v>14100</v>
      </c>
      <c r="L167" s="79"/>
      <c r="M167" s="79">
        <f t="shared" si="104"/>
        <v>14100</v>
      </c>
      <c r="N167" s="79"/>
      <c r="O167" s="79">
        <f t="shared" si="105"/>
        <v>14100</v>
      </c>
      <c r="P167" s="79">
        <v>-908</v>
      </c>
      <c r="Q167" s="79">
        <f t="shared" si="106"/>
        <v>13192</v>
      </c>
      <c r="R167" s="79"/>
      <c r="S167" s="79">
        <f t="shared" si="107"/>
        <v>13192</v>
      </c>
    </row>
    <row r="168" spans="1:19" s="26" customFormat="1" ht="21" customHeight="1">
      <c r="A168" s="84"/>
      <c r="B168" s="80"/>
      <c r="C168" s="66">
        <v>4110</v>
      </c>
      <c r="D168" s="41" t="s">
        <v>84</v>
      </c>
      <c r="E168" s="79">
        <v>31800</v>
      </c>
      <c r="F168" s="79"/>
      <c r="G168" s="79">
        <f t="shared" si="101"/>
        <v>31800</v>
      </c>
      <c r="H168" s="79"/>
      <c r="I168" s="79">
        <f t="shared" si="102"/>
        <v>31800</v>
      </c>
      <c r="J168" s="79"/>
      <c r="K168" s="79">
        <f t="shared" si="103"/>
        <v>31800</v>
      </c>
      <c r="L168" s="79"/>
      <c r="M168" s="79">
        <f t="shared" si="104"/>
        <v>31800</v>
      </c>
      <c r="N168" s="79"/>
      <c r="O168" s="79">
        <f t="shared" si="105"/>
        <v>31800</v>
      </c>
      <c r="P168" s="79"/>
      <c r="Q168" s="79">
        <f t="shared" si="106"/>
        <v>31800</v>
      </c>
      <c r="R168" s="79"/>
      <c r="S168" s="79">
        <f t="shared" si="107"/>
        <v>31800</v>
      </c>
    </row>
    <row r="169" spans="1:19" s="26" customFormat="1" ht="21" customHeight="1">
      <c r="A169" s="84"/>
      <c r="B169" s="80"/>
      <c r="C169" s="66">
        <v>4120</v>
      </c>
      <c r="D169" s="41" t="s">
        <v>85</v>
      </c>
      <c r="E169" s="79">
        <v>5200</v>
      </c>
      <c r="F169" s="79"/>
      <c r="G169" s="79">
        <f t="shared" si="101"/>
        <v>5200</v>
      </c>
      <c r="H169" s="79"/>
      <c r="I169" s="79">
        <f t="shared" si="102"/>
        <v>5200</v>
      </c>
      <c r="J169" s="79"/>
      <c r="K169" s="79">
        <f t="shared" si="103"/>
        <v>5200</v>
      </c>
      <c r="L169" s="79"/>
      <c r="M169" s="79">
        <f t="shared" si="104"/>
        <v>5200</v>
      </c>
      <c r="N169" s="79"/>
      <c r="O169" s="79">
        <f t="shared" si="105"/>
        <v>5200</v>
      </c>
      <c r="P169" s="79"/>
      <c r="Q169" s="79">
        <f t="shared" si="106"/>
        <v>5200</v>
      </c>
      <c r="R169" s="79"/>
      <c r="S169" s="79">
        <f t="shared" si="107"/>
        <v>5200</v>
      </c>
    </row>
    <row r="170" spans="1:19" s="26" customFormat="1" ht="21" customHeight="1">
      <c r="A170" s="84"/>
      <c r="B170" s="80"/>
      <c r="C170" s="66">
        <v>4170</v>
      </c>
      <c r="D170" s="41" t="s">
        <v>193</v>
      </c>
      <c r="E170" s="79">
        <v>0</v>
      </c>
      <c r="F170" s="79">
        <v>150</v>
      </c>
      <c r="G170" s="79">
        <f t="shared" si="101"/>
        <v>150</v>
      </c>
      <c r="H170" s="79"/>
      <c r="I170" s="79">
        <f t="shared" si="102"/>
        <v>150</v>
      </c>
      <c r="J170" s="79"/>
      <c r="K170" s="79">
        <f t="shared" si="103"/>
        <v>150</v>
      </c>
      <c r="L170" s="79"/>
      <c r="M170" s="79">
        <f t="shared" si="104"/>
        <v>150</v>
      </c>
      <c r="N170" s="79"/>
      <c r="O170" s="79">
        <f t="shared" si="105"/>
        <v>150</v>
      </c>
      <c r="P170" s="79"/>
      <c r="Q170" s="79">
        <f t="shared" si="106"/>
        <v>150</v>
      </c>
      <c r="R170" s="79"/>
      <c r="S170" s="79">
        <f t="shared" si="107"/>
        <v>150</v>
      </c>
    </row>
    <row r="171" spans="1:19" s="26" customFormat="1" ht="21" customHeight="1">
      <c r="A171" s="84"/>
      <c r="B171" s="80"/>
      <c r="C171" s="66">
        <v>4210</v>
      </c>
      <c r="D171" s="41" t="s">
        <v>90</v>
      </c>
      <c r="E171" s="79">
        <v>18000</v>
      </c>
      <c r="F171" s="79"/>
      <c r="G171" s="79">
        <f t="shared" si="101"/>
        <v>18000</v>
      </c>
      <c r="H171" s="79">
        <v>-3000</v>
      </c>
      <c r="I171" s="79">
        <f t="shared" si="102"/>
        <v>15000</v>
      </c>
      <c r="J171" s="79"/>
      <c r="K171" s="79">
        <f t="shared" si="103"/>
        <v>15000</v>
      </c>
      <c r="L171" s="79"/>
      <c r="M171" s="79">
        <f t="shared" si="104"/>
        <v>15000</v>
      </c>
      <c r="N171" s="79"/>
      <c r="O171" s="79">
        <f t="shared" si="105"/>
        <v>15000</v>
      </c>
      <c r="P171" s="79"/>
      <c r="Q171" s="79">
        <f t="shared" si="106"/>
        <v>15000</v>
      </c>
      <c r="R171" s="79"/>
      <c r="S171" s="79">
        <f t="shared" si="107"/>
        <v>15000</v>
      </c>
    </row>
    <row r="172" spans="1:19" s="26" customFormat="1" ht="21" customHeight="1">
      <c r="A172" s="84"/>
      <c r="B172" s="80"/>
      <c r="C172" s="66">
        <v>4270</v>
      </c>
      <c r="D172" s="41" t="s">
        <v>76</v>
      </c>
      <c r="E172" s="79">
        <v>2500</v>
      </c>
      <c r="F172" s="79"/>
      <c r="G172" s="79">
        <f t="shared" si="101"/>
        <v>2500</v>
      </c>
      <c r="H172" s="79">
        <v>3000</v>
      </c>
      <c r="I172" s="79">
        <f t="shared" si="102"/>
        <v>5500</v>
      </c>
      <c r="J172" s="79"/>
      <c r="K172" s="79">
        <f t="shared" si="103"/>
        <v>5500</v>
      </c>
      <c r="L172" s="79"/>
      <c r="M172" s="79">
        <f t="shared" si="104"/>
        <v>5500</v>
      </c>
      <c r="N172" s="79"/>
      <c r="O172" s="79">
        <f t="shared" si="105"/>
        <v>5500</v>
      </c>
      <c r="P172" s="79"/>
      <c r="Q172" s="79">
        <f t="shared" si="106"/>
        <v>5500</v>
      </c>
      <c r="R172" s="79"/>
      <c r="S172" s="79">
        <f t="shared" si="107"/>
        <v>5500</v>
      </c>
    </row>
    <row r="173" spans="1:19" s="26" customFormat="1" ht="21" customHeight="1">
      <c r="A173" s="84"/>
      <c r="B173" s="80"/>
      <c r="C173" s="66">
        <v>4280</v>
      </c>
      <c r="D173" s="41" t="s">
        <v>212</v>
      </c>
      <c r="E173" s="79">
        <v>500</v>
      </c>
      <c r="F173" s="79"/>
      <c r="G173" s="79">
        <f t="shared" si="101"/>
        <v>500</v>
      </c>
      <c r="H173" s="79"/>
      <c r="I173" s="79">
        <f t="shared" si="102"/>
        <v>500</v>
      </c>
      <c r="J173" s="79"/>
      <c r="K173" s="79">
        <f t="shared" si="103"/>
        <v>500</v>
      </c>
      <c r="L173" s="79"/>
      <c r="M173" s="79">
        <f t="shared" si="104"/>
        <v>500</v>
      </c>
      <c r="N173" s="79"/>
      <c r="O173" s="79">
        <f t="shared" si="105"/>
        <v>500</v>
      </c>
      <c r="P173" s="79"/>
      <c r="Q173" s="79">
        <f t="shared" si="106"/>
        <v>500</v>
      </c>
      <c r="R173" s="79"/>
      <c r="S173" s="79">
        <f t="shared" si="107"/>
        <v>500</v>
      </c>
    </row>
    <row r="174" spans="1:19" s="26" customFormat="1" ht="21" customHeight="1">
      <c r="A174" s="84"/>
      <c r="B174" s="80"/>
      <c r="C174" s="66">
        <v>4300</v>
      </c>
      <c r="D174" s="41" t="s">
        <v>77</v>
      </c>
      <c r="E174" s="79">
        <v>5500</v>
      </c>
      <c r="F174" s="79"/>
      <c r="G174" s="79">
        <f t="shared" si="101"/>
        <v>5500</v>
      </c>
      <c r="H174" s="79"/>
      <c r="I174" s="79">
        <f t="shared" si="102"/>
        <v>5500</v>
      </c>
      <c r="J174" s="79"/>
      <c r="K174" s="79">
        <f t="shared" si="103"/>
        <v>5500</v>
      </c>
      <c r="L174" s="79"/>
      <c r="M174" s="79">
        <f t="shared" si="104"/>
        <v>5500</v>
      </c>
      <c r="N174" s="79"/>
      <c r="O174" s="79">
        <f t="shared" si="105"/>
        <v>5500</v>
      </c>
      <c r="P174" s="79"/>
      <c r="Q174" s="79">
        <f t="shared" si="106"/>
        <v>5500</v>
      </c>
      <c r="R174" s="79"/>
      <c r="S174" s="79">
        <f t="shared" si="107"/>
        <v>5500</v>
      </c>
    </row>
    <row r="175" spans="1:19" s="26" customFormat="1" ht="33.75">
      <c r="A175" s="84"/>
      <c r="B175" s="80"/>
      <c r="C175" s="66">
        <v>4360</v>
      </c>
      <c r="D175" s="41" t="s">
        <v>295</v>
      </c>
      <c r="E175" s="79">
        <v>2000</v>
      </c>
      <c r="F175" s="79"/>
      <c r="G175" s="79">
        <f t="shared" si="101"/>
        <v>2000</v>
      </c>
      <c r="H175" s="79"/>
      <c r="I175" s="79">
        <f t="shared" si="102"/>
        <v>2000</v>
      </c>
      <c r="J175" s="79"/>
      <c r="K175" s="79">
        <f t="shared" si="103"/>
        <v>2000</v>
      </c>
      <c r="L175" s="79"/>
      <c r="M175" s="79">
        <f t="shared" si="104"/>
        <v>2000</v>
      </c>
      <c r="N175" s="79"/>
      <c r="O175" s="79">
        <f t="shared" si="105"/>
        <v>2000</v>
      </c>
      <c r="P175" s="79"/>
      <c r="Q175" s="79">
        <f t="shared" si="106"/>
        <v>2000</v>
      </c>
      <c r="R175" s="79"/>
      <c r="S175" s="79">
        <f t="shared" si="107"/>
        <v>2000</v>
      </c>
    </row>
    <row r="176" spans="1:19" s="26" customFormat="1" ht="22.5">
      <c r="A176" s="84"/>
      <c r="B176" s="80"/>
      <c r="C176" s="66">
        <v>4400</v>
      </c>
      <c r="D176" s="41" t="s">
        <v>233</v>
      </c>
      <c r="E176" s="79">
        <v>672</v>
      </c>
      <c r="F176" s="79"/>
      <c r="G176" s="79">
        <f t="shared" si="101"/>
        <v>672</v>
      </c>
      <c r="H176" s="79"/>
      <c r="I176" s="79">
        <f t="shared" si="102"/>
        <v>672</v>
      </c>
      <c r="J176" s="79"/>
      <c r="K176" s="79">
        <f t="shared" si="103"/>
        <v>672</v>
      </c>
      <c r="L176" s="79"/>
      <c r="M176" s="79">
        <f t="shared" si="104"/>
        <v>672</v>
      </c>
      <c r="N176" s="79"/>
      <c r="O176" s="79">
        <f t="shared" si="105"/>
        <v>672</v>
      </c>
      <c r="P176" s="79"/>
      <c r="Q176" s="79">
        <f t="shared" si="106"/>
        <v>672</v>
      </c>
      <c r="R176" s="79"/>
      <c r="S176" s="79">
        <f t="shared" si="107"/>
        <v>672</v>
      </c>
    </row>
    <row r="177" spans="1:19" s="26" customFormat="1" ht="21" customHeight="1">
      <c r="A177" s="84"/>
      <c r="B177" s="80"/>
      <c r="C177" s="66">
        <v>4410</v>
      </c>
      <c r="D177" s="41" t="s">
        <v>88</v>
      </c>
      <c r="E177" s="79">
        <v>700</v>
      </c>
      <c r="F177" s="79"/>
      <c r="G177" s="79">
        <f t="shared" si="101"/>
        <v>700</v>
      </c>
      <c r="H177" s="79"/>
      <c r="I177" s="79">
        <f t="shared" si="102"/>
        <v>700</v>
      </c>
      <c r="J177" s="79"/>
      <c r="K177" s="79">
        <f t="shared" si="103"/>
        <v>700</v>
      </c>
      <c r="L177" s="79"/>
      <c r="M177" s="79">
        <f t="shared" si="104"/>
        <v>700</v>
      </c>
      <c r="N177" s="79"/>
      <c r="O177" s="79">
        <f t="shared" si="105"/>
        <v>700</v>
      </c>
      <c r="P177" s="79"/>
      <c r="Q177" s="79">
        <f t="shared" si="106"/>
        <v>700</v>
      </c>
      <c r="R177" s="79"/>
      <c r="S177" s="79">
        <f t="shared" si="107"/>
        <v>700</v>
      </c>
    </row>
    <row r="178" spans="1:19" s="26" customFormat="1" ht="21" customHeight="1">
      <c r="A178" s="84"/>
      <c r="B178" s="80"/>
      <c r="C178" s="69">
        <v>4430</v>
      </c>
      <c r="D178" s="41" t="s">
        <v>92</v>
      </c>
      <c r="E178" s="79">
        <v>6600</v>
      </c>
      <c r="F178" s="79"/>
      <c r="G178" s="79">
        <f t="shared" si="101"/>
        <v>6600</v>
      </c>
      <c r="H178" s="79"/>
      <c r="I178" s="79">
        <f t="shared" si="102"/>
        <v>6600</v>
      </c>
      <c r="J178" s="79"/>
      <c r="K178" s="79">
        <f t="shared" si="103"/>
        <v>6600</v>
      </c>
      <c r="L178" s="79"/>
      <c r="M178" s="79">
        <f t="shared" si="104"/>
        <v>6600</v>
      </c>
      <c r="N178" s="79"/>
      <c r="O178" s="79">
        <f t="shared" si="105"/>
        <v>6600</v>
      </c>
      <c r="P178" s="79"/>
      <c r="Q178" s="79">
        <f t="shared" si="106"/>
        <v>6600</v>
      </c>
      <c r="R178" s="79"/>
      <c r="S178" s="79">
        <f t="shared" si="107"/>
        <v>6600</v>
      </c>
    </row>
    <row r="179" spans="1:19" s="26" customFormat="1" ht="21" customHeight="1">
      <c r="A179" s="84"/>
      <c r="B179" s="80"/>
      <c r="C179" s="69">
        <v>4440</v>
      </c>
      <c r="D179" s="41" t="s">
        <v>86</v>
      </c>
      <c r="E179" s="79">
        <v>5500</v>
      </c>
      <c r="F179" s="79"/>
      <c r="G179" s="79">
        <f t="shared" si="101"/>
        <v>5500</v>
      </c>
      <c r="H179" s="79"/>
      <c r="I179" s="79">
        <f t="shared" si="102"/>
        <v>5500</v>
      </c>
      <c r="J179" s="79"/>
      <c r="K179" s="79">
        <f t="shared" si="103"/>
        <v>5500</v>
      </c>
      <c r="L179" s="79"/>
      <c r="M179" s="79">
        <f t="shared" si="104"/>
        <v>5500</v>
      </c>
      <c r="N179" s="79"/>
      <c r="O179" s="79">
        <f t="shared" si="105"/>
        <v>5500</v>
      </c>
      <c r="P179" s="79"/>
      <c r="Q179" s="79">
        <f t="shared" si="106"/>
        <v>5500</v>
      </c>
      <c r="R179" s="79"/>
      <c r="S179" s="79">
        <f t="shared" si="107"/>
        <v>5500</v>
      </c>
    </row>
    <row r="180" spans="1:19" s="26" customFormat="1" ht="21" customHeight="1">
      <c r="A180" s="84"/>
      <c r="B180" s="80"/>
      <c r="C180" s="69">
        <v>4510</v>
      </c>
      <c r="D180" s="41" t="s">
        <v>143</v>
      </c>
      <c r="E180" s="79">
        <v>100</v>
      </c>
      <c r="F180" s="79"/>
      <c r="G180" s="79">
        <f t="shared" si="101"/>
        <v>100</v>
      </c>
      <c r="H180" s="79"/>
      <c r="I180" s="79">
        <f t="shared" si="102"/>
        <v>100</v>
      </c>
      <c r="J180" s="79"/>
      <c r="K180" s="79">
        <f t="shared" si="103"/>
        <v>100</v>
      </c>
      <c r="L180" s="79"/>
      <c r="M180" s="79">
        <f t="shared" si="104"/>
        <v>100</v>
      </c>
      <c r="N180" s="79"/>
      <c r="O180" s="79">
        <f t="shared" si="105"/>
        <v>100</v>
      </c>
      <c r="P180" s="79"/>
      <c r="Q180" s="79">
        <f t="shared" si="106"/>
        <v>100</v>
      </c>
      <c r="R180" s="79"/>
      <c r="S180" s="79">
        <f t="shared" si="107"/>
        <v>100</v>
      </c>
    </row>
    <row r="181" spans="1:19" s="26" customFormat="1" ht="22.5">
      <c r="A181" s="84"/>
      <c r="B181" s="80"/>
      <c r="C181" s="69">
        <v>4700</v>
      </c>
      <c r="D181" s="41" t="s">
        <v>239</v>
      </c>
      <c r="E181" s="79">
        <v>2650</v>
      </c>
      <c r="F181" s="79">
        <v>-150</v>
      </c>
      <c r="G181" s="79">
        <f t="shared" si="101"/>
        <v>2500</v>
      </c>
      <c r="H181" s="79"/>
      <c r="I181" s="79">
        <f t="shared" si="102"/>
        <v>2500</v>
      </c>
      <c r="J181" s="79"/>
      <c r="K181" s="79">
        <f t="shared" si="103"/>
        <v>2500</v>
      </c>
      <c r="L181" s="79"/>
      <c r="M181" s="79">
        <f t="shared" si="104"/>
        <v>2500</v>
      </c>
      <c r="N181" s="79"/>
      <c r="O181" s="79">
        <f t="shared" si="105"/>
        <v>2500</v>
      </c>
      <c r="P181" s="79"/>
      <c r="Q181" s="79">
        <f t="shared" si="106"/>
        <v>2500</v>
      </c>
      <c r="R181" s="79"/>
      <c r="S181" s="79">
        <f t="shared" si="107"/>
        <v>2500</v>
      </c>
    </row>
    <row r="182" spans="1:19" s="26" customFormat="1" ht="23.25" customHeight="1">
      <c r="A182" s="84"/>
      <c r="B182" s="80">
        <v>75421</v>
      </c>
      <c r="C182" s="69"/>
      <c r="D182" s="41" t="s">
        <v>362</v>
      </c>
      <c r="E182" s="79"/>
      <c r="F182" s="79"/>
      <c r="G182" s="79">
        <f aca="true" t="shared" si="108" ref="G182:N182">SUM(G183)</f>
        <v>0</v>
      </c>
      <c r="H182" s="79">
        <f t="shared" si="108"/>
        <v>2500</v>
      </c>
      <c r="I182" s="79">
        <f t="shared" si="108"/>
        <v>2500</v>
      </c>
      <c r="J182" s="79">
        <f t="shared" si="108"/>
        <v>0</v>
      </c>
      <c r="K182" s="79">
        <f t="shared" si="108"/>
        <v>2500</v>
      </c>
      <c r="L182" s="79">
        <f t="shared" si="108"/>
        <v>0</v>
      </c>
      <c r="M182" s="79">
        <f t="shared" si="108"/>
        <v>2500</v>
      </c>
      <c r="N182" s="79">
        <f t="shared" si="108"/>
        <v>0</v>
      </c>
      <c r="O182" s="79">
        <f>SUM(O183:O184)</f>
        <v>2500</v>
      </c>
      <c r="P182" s="79">
        <f>SUM(P183:P184)</f>
        <v>15000</v>
      </c>
      <c r="Q182" s="79">
        <f>SUM(Q183:Q184)</f>
        <v>17500</v>
      </c>
      <c r="R182" s="79">
        <f>SUM(R183:R184)</f>
        <v>0</v>
      </c>
      <c r="S182" s="79">
        <f>SUM(S183:S184)</f>
        <v>17500</v>
      </c>
    </row>
    <row r="183" spans="1:19" s="26" customFormat="1" ht="21.75" customHeight="1">
      <c r="A183" s="84"/>
      <c r="B183" s="80"/>
      <c r="C183" s="69">
        <v>4300</v>
      </c>
      <c r="D183" s="41" t="s">
        <v>77</v>
      </c>
      <c r="E183" s="79"/>
      <c r="F183" s="79"/>
      <c r="G183" s="79">
        <v>0</v>
      </c>
      <c r="H183" s="79">
        <v>2500</v>
      </c>
      <c r="I183" s="79">
        <f>SUM(G183:H183)</f>
        <v>2500</v>
      </c>
      <c r="J183" s="79"/>
      <c r="K183" s="79">
        <f>SUM(I183:J183)</f>
        <v>2500</v>
      </c>
      <c r="L183" s="79"/>
      <c r="M183" s="79">
        <f>SUM(K183:L183)</f>
        <v>2500</v>
      </c>
      <c r="N183" s="79"/>
      <c r="O183" s="79">
        <f>SUM(M183:N183)</f>
        <v>2500</v>
      </c>
      <c r="P183" s="79"/>
      <c r="Q183" s="79">
        <f>SUM(O183:P183)</f>
        <v>2500</v>
      </c>
      <c r="R183" s="79"/>
      <c r="S183" s="79">
        <f>SUM(Q183:R183)</f>
        <v>2500</v>
      </c>
    </row>
    <row r="184" spans="1:19" s="26" customFormat="1" ht="24.75" customHeight="1">
      <c r="A184" s="84"/>
      <c r="B184" s="80"/>
      <c r="C184" s="69">
        <v>6060</v>
      </c>
      <c r="D184" s="41" t="s">
        <v>94</v>
      </c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>
        <v>0</v>
      </c>
      <c r="P184" s="79">
        <v>15000</v>
      </c>
      <c r="Q184" s="79">
        <f>SUM(O184:P184)</f>
        <v>15000</v>
      </c>
      <c r="R184" s="79"/>
      <c r="S184" s="79">
        <f>SUM(Q184:R184)</f>
        <v>15000</v>
      </c>
    </row>
    <row r="185" spans="1:19" s="26" customFormat="1" ht="21" customHeight="1">
      <c r="A185" s="84"/>
      <c r="B185" s="80" t="s">
        <v>99</v>
      </c>
      <c r="C185" s="84"/>
      <c r="D185" s="41" t="s">
        <v>6</v>
      </c>
      <c r="E185" s="79">
        <f aca="true" t="shared" si="109" ref="E185:K185">SUM(E186:E187)</f>
        <v>8400</v>
      </c>
      <c r="F185" s="79">
        <f t="shared" si="109"/>
        <v>0</v>
      </c>
      <c r="G185" s="79">
        <f t="shared" si="109"/>
        <v>8400</v>
      </c>
      <c r="H185" s="79">
        <f t="shared" si="109"/>
        <v>0</v>
      </c>
      <c r="I185" s="79">
        <f t="shared" si="109"/>
        <v>8400</v>
      </c>
      <c r="J185" s="79">
        <f t="shared" si="109"/>
        <v>0</v>
      </c>
      <c r="K185" s="79">
        <f t="shared" si="109"/>
        <v>8400</v>
      </c>
      <c r="L185" s="79">
        <f aca="true" t="shared" si="110" ref="L185:Q185">SUM(L186:L187)</f>
        <v>0</v>
      </c>
      <c r="M185" s="79">
        <f t="shared" si="110"/>
        <v>8400</v>
      </c>
      <c r="N185" s="79">
        <f t="shared" si="110"/>
        <v>0</v>
      </c>
      <c r="O185" s="79">
        <f t="shared" si="110"/>
        <v>8400</v>
      </c>
      <c r="P185" s="79">
        <f t="shared" si="110"/>
        <v>0</v>
      </c>
      <c r="Q185" s="79">
        <f t="shared" si="110"/>
        <v>8400</v>
      </c>
      <c r="R185" s="79">
        <f>SUM(R186:R187)</f>
        <v>0</v>
      </c>
      <c r="S185" s="79">
        <f>SUM(S186:S187)</f>
        <v>8400</v>
      </c>
    </row>
    <row r="186" spans="1:19" s="26" customFormat="1" ht="21" customHeight="1">
      <c r="A186" s="84"/>
      <c r="B186" s="80"/>
      <c r="C186" s="84">
        <v>4210</v>
      </c>
      <c r="D186" s="41" t="s">
        <v>90</v>
      </c>
      <c r="E186" s="79">
        <v>3400</v>
      </c>
      <c r="F186" s="79"/>
      <c r="G186" s="79">
        <f>SUM(E186:F186)</f>
        <v>3400</v>
      </c>
      <c r="H186" s="79"/>
      <c r="I186" s="79">
        <f>SUM(G186:H186)</f>
        <v>3400</v>
      </c>
      <c r="J186" s="79"/>
      <c r="K186" s="79">
        <f>SUM(I186:J186)</f>
        <v>3400</v>
      </c>
      <c r="L186" s="79"/>
      <c r="M186" s="79">
        <f>SUM(K186:L186)</f>
        <v>3400</v>
      </c>
      <c r="N186" s="79"/>
      <c r="O186" s="79">
        <f>SUM(M186:N186)</f>
        <v>3400</v>
      </c>
      <c r="P186" s="79"/>
      <c r="Q186" s="79">
        <f>SUM(O186:P186)</f>
        <v>3400</v>
      </c>
      <c r="R186" s="79"/>
      <c r="S186" s="79">
        <f>SUM(Q186:R186)</f>
        <v>3400</v>
      </c>
    </row>
    <row r="187" spans="1:19" s="26" customFormat="1" ht="21" customHeight="1">
      <c r="A187" s="84"/>
      <c r="B187" s="80"/>
      <c r="C187" s="69">
        <v>4430</v>
      </c>
      <c r="D187" s="41" t="s">
        <v>92</v>
      </c>
      <c r="E187" s="79">
        <v>5000</v>
      </c>
      <c r="F187" s="79"/>
      <c r="G187" s="79">
        <f>SUM(E187:F187)</f>
        <v>5000</v>
      </c>
      <c r="H187" s="79"/>
      <c r="I187" s="79">
        <f>SUM(G187:H187)</f>
        <v>5000</v>
      </c>
      <c r="J187" s="79"/>
      <c r="K187" s="79">
        <f>SUM(I187:J187)</f>
        <v>5000</v>
      </c>
      <c r="L187" s="79"/>
      <c r="M187" s="79">
        <f>SUM(K187:L187)</f>
        <v>5000</v>
      </c>
      <c r="N187" s="79"/>
      <c r="O187" s="79">
        <f>SUM(M187:N187)</f>
        <v>5000</v>
      </c>
      <c r="P187" s="79"/>
      <c r="Q187" s="79">
        <f>SUM(O187:P187)</f>
        <v>5000</v>
      </c>
      <c r="R187" s="79"/>
      <c r="S187" s="79">
        <f>SUM(Q187:R187)</f>
        <v>5000</v>
      </c>
    </row>
    <row r="188" spans="1:19" s="42" customFormat="1" ht="60">
      <c r="A188" s="38">
        <v>756</v>
      </c>
      <c r="B188" s="61"/>
      <c r="C188" s="60"/>
      <c r="D188" s="39" t="s">
        <v>243</v>
      </c>
      <c r="E188" s="40">
        <f aca="true" t="shared" si="111" ref="E188:S188">SUM(E189)</f>
        <v>101360</v>
      </c>
      <c r="F188" s="40">
        <f t="shared" si="111"/>
        <v>0</v>
      </c>
      <c r="G188" s="40">
        <f t="shared" si="111"/>
        <v>101360</v>
      </c>
      <c r="H188" s="40">
        <f t="shared" si="111"/>
        <v>0</v>
      </c>
      <c r="I188" s="40">
        <f t="shared" si="111"/>
        <v>101360</v>
      </c>
      <c r="J188" s="40">
        <f t="shared" si="111"/>
        <v>0</v>
      </c>
      <c r="K188" s="40">
        <f t="shared" si="111"/>
        <v>101360</v>
      </c>
      <c r="L188" s="40">
        <f t="shared" si="111"/>
        <v>0</v>
      </c>
      <c r="M188" s="40">
        <f t="shared" si="111"/>
        <v>101360</v>
      </c>
      <c r="N188" s="40">
        <f t="shared" si="111"/>
        <v>0</v>
      </c>
      <c r="O188" s="40">
        <f t="shared" si="111"/>
        <v>101360</v>
      </c>
      <c r="P188" s="40">
        <f t="shared" si="111"/>
        <v>-13000</v>
      </c>
      <c r="Q188" s="40">
        <f t="shared" si="111"/>
        <v>88360</v>
      </c>
      <c r="R188" s="40">
        <f t="shared" si="111"/>
        <v>0</v>
      </c>
      <c r="S188" s="40">
        <f t="shared" si="111"/>
        <v>88360</v>
      </c>
    </row>
    <row r="189" spans="1:19" s="26" customFormat="1" ht="25.5" customHeight="1">
      <c r="A189" s="84"/>
      <c r="B189" s="80">
        <v>75647</v>
      </c>
      <c r="C189" s="69"/>
      <c r="D189" s="41" t="s">
        <v>179</v>
      </c>
      <c r="E189" s="79">
        <f aca="true" t="shared" si="112" ref="E189:K189">SUM(E190:E197)</f>
        <v>101360</v>
      </c>
      <c r="F189" s="79">
        <f t="shared" si="112"/>
        <v>0</v>
      </c>
      <c r="G189" s="79">
        <f t="shared" si="112"/>
        <v>101360</v>
      </c>
      <c r="H189" s="79">
        <f t="shared" si="112"/>
        <v>0</v>
      </c>
      <c r="I189" s="79">
        <f t="shared" si="112"/>
        <v>101360</v>
      </c>
      <c r="J189" s="79">
        <f t="shared" si="112"/>
        <v>0</v>
      </c>
      <c r="K189" s="79">
        <f t="shared" si="112"/>
        <v>101360</v>
      </c>
      <c r="L189" s="79">
        <f aca="true" t="shared" si="113" ref="L189:Q189">SUM(L190:L197)</f>
        <v>0</v>
      </c>
      <c r="M189" s="79">
        <f t="shared" si="113"/>
        <v>101360</v>
      </c>
      <c r="N189" s="79">
        <f t="shared" si="113"/>
        <v>0</v>
      </c>
      <c r="O189" s="79">
        <f t="shared" si="113"/>
        <v>101360</v>
      </c>
      <c r="P189" s="79">
        <f t="shared" si="113"/>
        <v>-13000</v>
      </c>
      <c r="Q189" s="79">
        <f t="shared" si="113"/>
        <v>88360</v>
      </c>
      <c r="R189" s="79">
        <f>SUM(R190:R197)</f>
        <v>0</v>
      </c>
      <c r="S189" s="79">
        <f>SUM(S190:S197)</f>
        <v>88360</v>
      </c>
    </row>
    <row r="190" spans="1:19" s="26" customFormat="1" ht="21" customHeight="1">
      <c r="A190" s="84"/>
      <c r="B190" s="80"/>
      <c r="C190" s="69">
        <v>4100</v>
      </c>
      <c r="D190" s="41" t="s">
        <v>95</v>
      </c>
      <c r="E190" s="79">
        <v>40000</v>
      </c>
      <c r="F190" s="79"/>
      <c r="G190" s="79">
        <f>SUM(E190:F190)</f>
        <v>40000</v>
      </c>
      <c r="H190" s="79"/>
      <c r="I190" s="79">
        <f>SUM(G190:H190)</f>
        <v>40000</v>
      </c>
      <c r="J190" s="79"/>
      <c r="K190" s="79">
        <f>SUM(I190:J190)</f>
        <v>40000</v>
      </c>
      <c r="L190" s="79"/>
      <c r="M190" s="79">
        <f>SUM(K190:L190)</f>
        <v>40000</v>
      </c>
      <c r="N190" s="79"/>
      <c r="O190" s="79">
        <f>SUM(M190:N190)</f>
        <v>40000</v>
      </c>
      <c r="P190" s="79">
        <v>-8000</v>
      </c>
      <c r="Q190" s="79">
        <f>SUM(O190:P190)</f>
        <v>32000</v>
      </c>
      <c r="R190" s="79"/>
      <c r="S190" s="79">
        <f>SUM(Q190:R190)</f>
        <v>32000</v>
      </c>
    </row>
    <row r="191" spans="1:19" s="26" customFormat="1" ht="21" customHeight="1">
      <c r="A191" s="84"/>
      <c r="B191" s="80"/>
      <c r="C191" s="69">
        <v>4110</v>
      </c>
      <c r="D191" s="41" t="s">
        <v>84</v>
      </c>
      <c r="E191" s="79">
        <v>310</v>
      </c>
      <c r="F191" s="79"/>
      <c r="G191" s="79">
        <f aca="true" t="shared" si="114" ref="G191:G197">SUM(E191:F191)</f>
        <v>310</v>
      </c>
      <c r="H191" s="79"/>
      <c r="I191" s="79">
        <f aca="true" t="shared" si="115" ref="I191:I197">SUM(G191:H191)</f>
        <v>310</v>
      </c>
      <c r="J191" s="79"/>
      <c r="K191" s="79">
        <f aca="true" t="shared" si="116" ref="K191:K197">SUM(I191:J191)</f>
        <v>310</v>
      </c>
      <c r="L191" s="79"/>
      <c r="M191" s="79">
        <f aca="true" t="shared" si="117" ref="M191:M197">SUM(K191:L191)</f>
        <v>310</v>
      </c>
      <c r="N191" s="79"/>
      <c r="O191" s="79">
        <f aca="true" t="shared" si="118" ref="O191:O197">SUM(M191:N191)</f>
        <v>310</v>
      </c>
      <c r="P191" s="79"/>
      <c r="Q191" s="79">
        <f aca="true" t="shared" si="119" ref="Q191:Q197">SUM(O191:P191)</f>
        <v>310</v>
      </c>
      <c r="R191" s="79"/>
      <c r="S191" s="79">
        <f aca="true" t="shared" si="120" ref="S191:S197">SUM(Q191:R191)</f>
        <v>310</v>
      </c>
    </row>
    <row r="192" spans="1:19" s="26" customFormat="1" ht="21" customHeight="1">
      <c r="A192" s="84"/>
      <c r="B192" s="80"/>
      <c r="C192" s="69">
        <v>4120</v>
      </c>
      <c r="D192" s="41" t="s">
        <v>85</v>
      </c>
      <c r="E192" s="79">
        <v>50</v>
      </c>
      <c r="F192" s="79"/>
      <c r="G192" s="79">
        <f t="shared" si="114"/>
        <v>50</v>
      </c>
      <c r="H192" s="79"/>
      <c r="I192" s="79">
        <f t="shared" si="115"/>
        <v>50</v>
      </c>
      <c r="J192" s="79"/>
      <c r="K192" s="79">
        <f t="shared" si="116"/>
        <v>50</v>
      </c>
      <c r="L192" s="79"/>
      <c r="M192" s="79">
        <f t="shared" si="117"/>
        <v>50</v>
      </c>
      <c r="N192" s="79"/>
      <c r="O192" s="79">
        <f t="shared" si="118"/>
        <v>50</v>
      </c>
      <c r="P192" s="79"/>
      <c r="Q192" s="79">
        <f t="shared" si="119"/>
        <v>50</v>
      </c>
      <c r="R192" s="79"/>
      <c r="S192" s="79">
        <f t="shared" si="120"/>
        <v>50</v>
      </c>
    </row>
    <row r="193" spans="1:19" s="26" customFormat="1" ht="21" customHeight="1">
      <c r="A193" s="84"/>
      <c r="B193" s="80"/>
      <c r="C193" s="69">
        <v>4170</v>
      </c>
      <c r="D193" s="41" t="s">
        <v>193</v>
      </c>
      <c r="E193" s="79">
        <v>2000</v>
      </c>
      <c r="F193" s="79"/>
      <c r="G193" s="79">
        <f t="shared" si="114"/>
        <v>2000</v>
      </c>
      <c r="H193" s="79"/>
      <c r="I193" s="79">
        <f t="shared" si="115"/>
        <v>2000</v>
      </c>
      <c r="J193" s="79"/>
      <c r="K193" s="79">
        <f t="shared" si="116"/>
        <v>2000</v>
      </c>
      <c r="L193" s="79"/>
      <c r="M193" s="79">
        <f t="shared" si="117"/>
        <v>2000</v>
      </c>
      <c r="N193" s="79"/>
      <c r="O193" s="79">
        <f t="shared" si="118"/>
        <v>2000</v>
      </c>
      <c r="P193" s="79"/>
      <c r="Q193" s="79">
        <f t="shared" si="119"/>
        <v>2000</v>
      </c>
      <c r="R193" s="79"/>
      <c r="S193" s="79">
        <f t="shared" si="120"/>
        <v>2000</v>
      </c>
    </row>
    <row r="194" spans="1:19" s="26" customFormat="1" ht="21" customHeight="1">
      <c r="A194" s="84"/>
      <c r="B194" s="80"/>
      <c r="C194" s="69">
        <v>4210</v>
      </c>
      <c r="D194" s="41" t="s">
        <v>70</v>
      </c>
      <c r="E194" s="79">
        <v>7000</v>
      </c>
      <c r="F194" s="79"/>
      <c r="G194" s="79">
        <f t="shared" si="114"/>
        <v>7000</v>
      </c>
      <c r="H194" s="79"/>
      <c r="I194" s="79">
        <f t="shared" si="115"/>
        <v>7000</v>
      </c>
      <c r="J194" s="79"/>
      <c r="K194" s="79">
        <f t="shared" si="116"/>
        <v>7000</v>
      </c>
      <c r="L194" s="79"/>
      <c r="M194" s="79">
        <f t="shared" si="117"/>
        <v>7000</v>
      </c>
      <c r="N194" s="79"/>
      <c r="O194" s="79">
        <f t="shared" si="118"/>
        <v>7000</v>
      </c>
      <c r="P194" s="79"/>
      <c r="Q194" s="79">
        <f t="shared" si="119"/>
        <v>7000</v>
      </c>
      <c r="R194" s="79"/>
      <c r="S194" s="79">
        <f t="shared" si="120"/>
        <v>7000</v>
      </c>
    </row>
    <row r="195" spans="1:19" s="26" customFormat="1" ht="21" customHeight="1">
      <c r="A195" s="84"/>
      <c r="B195" s="80"/>
      <c r="C195" s="69">
        <v>4300</v>
      </c>
      <c r="D195" s="41" t="s">
        <v>77</v>
      </c>
      <c r="E195" s="79">
        <v>23000</v>
      </c>
      <c r="F195" s="79"/>
      <c r="G195" s="79">
        <f t="shared" si="114"/>
        <v>23000</v>
      </c>
      <c r="H195" s="79"/>
      <c r="I195" s="79">
        <f t="shared" si="115"/>
        <v>23000</v>
      </c>
      <c r="J195" s="79"/>
      <c r="K195" s="79">
        <f t="shared" si="116"/>
        <v>23000</v>
      </c>
      <c r="L195" s="79"/>
      <c r="M195" s="79">
        <f t="shared" si="117"/>
        <v>23000</v>
      </c>
      <c r="N195" s="79"/>
      <c r="O195" s="79">
        <f t="shared" si="118"/>
        <v>23000</v>
      </c>
      <c r="P195" s="79"/>
      <c r="Q195" s="79">
        <f t="shared" si="119"/>
        <v>23000</v>
      </c>
      <c r="R195" s="79"/>
      <c r="S195" s="79">
        <f t="shared" si="120"/>
        <v>23000</v>
      </c>
    </row>
    <row r="196" spans="1:19" s="26" customFormat="1" ht="21" customHeight="1">
      <c r="A196" s="84"/>
      <c r="B196" s="80"/>
      <c r="C196" s="69">
        <v>4430</v>
      </c>
      <c r="D196" s="41" t="s">
        <v>92</v>
      </c>
      <c r="E196" s="79">
        <v>2000</v>
      </c>
      <c r="F196" s="79"/>
      <c r="G196" s="79">
        <f t="shared" si="114"/>
        <v>2000</v>
      </c>
      <c r="H196" s="79"/>
      <c r="I196" s="79">
        <f t="shared" si="115"/>
        <v>2000</v>
      </c>
      <c r="J196" s="79"/>
      <c r="K196" s="79">
        <f t="shared" si="116"/>
        <v>2000</v>
      </c>
      <c r="L196" s="79"/>
      <c r="M196" s="79">
        <f t="shared" si="117"/>
        <v>2000</v>
      </c>
      <c r="N196" s="79"/>
      <c r="O196" s="79">
        <f t="shared" si="118"/>
        <v>2000</v>
      </c>
      <c r="P196" s="79"/>
      <c r="Q196" s="79">
        <f t="shared" si="119"/>
        <v>2000</v>
      </c>
      <c r="R196" s="79"/>
      <c r="S196" s="79">
        <f t="shared" si="120"/>
        <v>2000</v>
      </c>
    </row>
    <row r="197" spans="1:19" s="26" customFormat="1" ht="22.5">
      <c r="A197" s="84"/>
      <c r="B197" s="80"/>
      <c r="C197" s="69">
        <v>4610</v>
      </c>
      <c r="D197" s="41" t="s">
        <v>180</v>
      </c>
      <c r="E197" s="79">
        <v>27000</v>
      </c>
      <c r="F197" s="79"/>
      <c r="G197" s="79">
        <f t="shared" si="114"/>
        <v>27000</v>
      </c>
      <c r="H197" s="79"/>
      <c r="I197" s="79">
        <f t="shared" si="115"/>
        <v>27000</v>
      </c>
      <c r="J197" s="79"/>
      <c r="K197" s="79">
        <f t="shared" si="116"/>
        <v>27000</v>
      </c>
      <c r="L197" s="79"/>
      <c r="M197" s="79">
        <f t="shared" si="117"/>
        <v>27000</v>
      </c>
      <c r="N197" s="79"/>
      <c r="O197" s="79">
        <f t="shared" si="118"/>
        <v>27000</v>
      </c>
      <c r="P197" s="79">
        <v>-5000</v>
      </c>
      <c r="Q197" s="79">
        <f t="shared" si="119"/>
        <v>22000</v>
      </c>
      <c r="R197" s="79"/>
      <c r="S197" s="79">
        <f t="shared" si="120"/>
        <v>22000</v>
      </c>
    </row>
    <row r="198" spans="1:19" s="8" customFormat="1" ht="21.75" customHeight="1">
      <c r="A198" s="36" t="s">
        <v>100</v>
      </c>
      <c r="B198" s="37"/>
      <c r="C198" s="38"/>
      <c r="D198" s="39" t="s">
        <v>101</v>
      </c>
      <c r="E198" s="40">
        <f aca="true" t="shared" si="121" ref="E198:S198">SUM(E199)</f>
        <v>910000</v>
      </c>
      <c r="F198" s="40">
        <f t="shared" si="121"/>
        <v>0</v>
      </c>
      <c r="G198" s="40">
        <f t="shared" si="121"/>
        <v>910000</v>
      </c>
      <c r="H198" s="40">
        <f t="shared" si="121"/>
        <v>0</v>
      </c>
      <c r="I198" s="40">
        <f t="shared" si="121"/>
        <v>910000</v>
      </c>
      <c r="J198" s="40">
        <f t="shared" si="121"/>
        <v>0</v>
      </c>
      <c r="K198" s="40">
        <f t="shared" si="121"/>
        <v>910000</v>
      </c>
      <c r="L198" s="40">
        <f t="shared" si="121"/>
        <v>0</v>
      </c>
      <c r="M198" s="40">
        <f t="shared" si="121"/>
        <v>910000</v>
      </c>
      <c r="N198" s="40">
        <f t="shared" si="121"/>
        <v>0</v>
      </c>
      <c r="O198" s="40">
        <f t="shared" si="121"/>
        <v>910000</v>
      </c>
      <c r="P198" s="40">
        <f t="shared" si="121"/>
        <v>0</v>
      </c>
      <c r="Q198" s="40">
        <f t="shared" si="121"/>
        <v>910000</v>
      </c>
      <c r="R198" s="40">
        <f t="shared" si="121"/>
        <v>0</v>
      </c>
      <c r="S198" s="40">
        <f t="shared" si="121"/>
        <v>910000</v>
      </c>
    </row>
    <row r="199" spans="1:19" s="26" customFormat="1" ht="25.5" customHeight="1">
      <c r="A199" s="66"/>
      <c r="B199" s="80" t="s">
        <v>102</v>
      </c>
      <c r="C199" s="84"/>
      <c r="D199" s="41" t="s">
        <v>103</v>
      </c>
      <c r="E199" s="178">
        <f aca="true" t="shared" si="122" ref="E199:S199">SUM(E200:E200)</f>
        <v>910000</v>
      </c>
      <c r="F199" s="178">
        <f t="shared" si="122"/>
        <v>0</v>
      </c>
      <c r="G199" s="178">
        <f t="shared" si="122"/>
        <v>910000</v>
      </c>
      <c r="H199" s="178">
        <f t="shared" si="122"/>
        <v>0</v>
      </c>
      <c r="I199" s="178">
        <f t="shared" si="122"/>
        <v>910000</v>
      </c>
      <c r="J199" s="178">
        <f t="shared" si="122"/>
        <v>0</v>
      </c>
      <c r="K199" s="178">
        <f t="shared" si="122"/>
        <v>910000</v>
      </c>
      <c r="L199" s="178">
        <f t="shared" si="122"/>
        <v>0</v>
      </c>
      <c r="M199" s="178">
        <f t="shared" si="122"/>
        <v>910000</v>
      </c>
      <c r="N199" s="178">
        <f t="shared" si="122"/>
        <v>0</v>
      </c>
      <c r="O199" s="178">
        <f t="shared" si="122"/>
        <v>910000</v>
      </c>
      <c r="P199" s="178">
        <f t="shared" si="122"/>
        <v>0</v>
      </c>
      <c r="Q199" s="178">
        <f t="shared" si="122"/>
        <v>910000</v>
      </c>
      <c r="R199" s="178">
        <f t="shared" si="122"/>
        <v>0</v>
      </c>
      <c r="S199" s="178">
        <f t="shared" si="122"/>
        <v>910000</v>
      </c>
    </row>
    <row r="200" spans="1:19" s="26" customFormat="1" ht="45">
      <c r="A200" s="66"/>
      <c r="B200" s="85"/>
      <c r="C200" s="84">
        <v>8070</v>
      </c>
      <c r="D200" s="41" t="s">
        <v>319</v>
      </c>
      <c r="E200" s="178">
        <v>910000</v>
      </c>
      <c r="F200" s="178"/>
      <c r="G200" s="178">
        <f>SUM(E200:F200)</f>
        <v>910000</v>
      </c>
      <c r="H200" s="178"/>
      <c r="I200" s="178">
        <f>SUM(G200:H200)</f>
        <v>910000</v>
      </c>
      <c r="J200" s="178"/>
      <c r="K200" s="178">
        <f>SUM(I200:J200)</f>
        <v>910000</v>
      </c>
      <c r="L200" s="178"/>
      <c r="M200" s="178">
        <f>SUM(K200:L200)</f>
        <v>910000</v>
      </c>
      <c r="N200" s="178"/>
      <c r="O200" s="178">
        <f>SUM(M200:N200)</f>
        <v>910000</v>
      </c>
      <c r="P200" s="178"/>
      <c r="Q200" s="178">
        <f>SUM(O200:P200)</f>
        <v>910000</v>
      </c>
      <c r="R200" s="178"/>
      <c r="S200" s="178">
        <f>SUM(Q200:R200)</f>
        <v>910000</v>
      </c>
    </row>
    <row r="201" spans="1:19" s="8" customFormat="1" ht="21" customHeight="1">
      <c r="A201" s="36" t="s">
        <v>45</v>
      </c>
      <c r="B201" s="37"/>
      <c r="C201" s="38"/>
      <c r="D201" s="39" t="s">
        <v>46</v>
      </c>
      <c r="E201" s="40">
        <f aca="true" t="shared" si="123" ref="E201:S201">SUM(E202)</f>
        <v>980835</v>
      </c>
      <c r="F201" s="40">
        <f t="shared" si="123"/>
        <v>398000</v>
      </c>
      <c r="G201" s="40">
        <f t="shared" si="123"/>
        <v>1378835</v>
      </c>
      <c r="H201" s="40">
        <f t="shared" si="123"/>
        <v>-380500</v>
      </c>
      <c r="I201" s="40">
        <f t="shared" si="123"/>
        <v>998335</v>
      </c>
      <c r="J201" s="40">
        <f t="shared" si="123"/>
        <v>678501</v>
      </c>
      <c r="K201" s="40">
        <f t="shared" si="123"/>
        <v>1676836</v>
      </c>
      <c r="L201" s="40">
        <f t="shared" si="123"/>
        <v>-127057</v>
      </c>
      <c r="M201" s="40">
        <f t="shared" si="123"/>
        <v>1549779</v>
      </c>
      <c r="N201" s="40">
        <f t="shared" si="123"/>
        <v>0</v>
      </c>
      <c r="O201" s="40">
        <f t="shared" si="123"/>
        <v>1549779</v>
      </c>
      <c r="P201" s="40">
        <f t="shared" si="123"/>
        <v>-30000</v>
      </c>
      <c r="Q201" s="40">
        <f t="shared" si="123"/>
        <v>1519779</v>
      </c>
      <c r="R201" s="40">
        <f t="shared" si="123"/>
        <v>-70000</v>
      </c>
      <c r="S201" s="40">
        <f t="shared" si="123"/>
        <v>1449779</v>
      </c>
    </row>
    <row r="202" spans="1:19" s="26" customFormat="1" ht="21" customHeight="1">
      <c r="A202" s="66"/>
      <c r="B202" s="80" t="s">
        <v>104</v>
      </c>
      <c r="C202" s="84"/>
      <c r="D202" s="41" t="s">
        <v>105</v>
      </c>
      <c r="E202" s="79">
        <f aca="true" t="shared" si="124" ref="E202:K202">SUM(E203:E204)</f>
        <v>980835</v>
      </c>
      <c r="F202" s="79">
        <f t="shared" si="124"/>
        <v>398000</v>
      </c>
      <c r="G202" s="79">
        <f t="shared" si="124"/>
        <v>1378835</v>
      </c>
      <c r="H202" s="79">
        <f t="shared" si="124"/>
        <v>-380500</v>
      </c>
      <c r="I202" s="79">
        <f t="shared" si="124"/>
        <v>998335</v>
      </c>
      <c r="J202" s="79">
        <f t="shared" si="124"/>
        <v>678501</v>
      </c>
      <c r="K202" s="79">
        <f t="shared" si="124"/>
        <v>1676836</v>
      </c>
      <c r="L202" s="79">
        <f aca="true" t="shared" si="125" ref="L202:Q202">SUM(L203:L204)</f>
        <v>-127057</v>
      </c>
      <c r="M202" s="79">
        <f t="shared" si="125"/>
        <v>1549779</v>
      </c>
      <c r="N202" s="79">
        <f t="shared" si="125"/>
        <v>0</v>
      </c>
      <c r="O202" s="79">
        <f t="shared" si="125"/>
        <v>1549779</v>
      </c>
      <c r="P202" s="79">
        <f t="shared" si="125"/>
        <v>-30000</v>
      </c>
      <c r="Q202" s="79">
        <f t="shared" si="125"/>
        <v>1519779</v>
      </c>
      <c r="R202" s="79">
        <f>SUM(R203:R204)</f>
        <v>-70000</v>
      </c>
      <c r="S202" s="79">
        <f>SUM(S203:S204)</f>
        <v>1449779</v>
      </c>
    </row>
    <row r="203" spans="1:19" s="26" customFormat="1" ht="21" customHeight="1">
      <c r="A203" s="66"/>
      <c r="B203" s="85"/>
      <c r="C203" s="84">
        <v>4810</v>
      </c>
      <c r="D203" s="41" t="s">
        <v>106</v>
      </c>
      <c r="E203" s="79">
        <f>134813+38620+8000+75000-10000+25000+40110+51228+25064+10000+111000+432000</f>
        <v>940835</v>
      </c>
      <c r="F203" s="79">
        <f>3000+5000+10000+100000</f>
        <v>118000</v>
      </c>
      <c r="G203" s="79">
        <f>SUM(E203:F203)</f>
        <v>1058835</v>
      </c>
      <c r="H203" s="79">
        <f>-360000-5000-3000-10000-2500</f>
        <v>-380500</v>
      </c>
      <c r="I203" s="79">
        <f>SUM(G203:H203)</f>
        <v>678335</v>
      </c>
      <c r="J203" s="79">
        <f>470901+207600</f>
        <v>678501</v>
      </c>
      <c r="K203" s="79">
        <f>SUM(I203:J203)</f>
        <v>1356836</v>
      </c>
      <c r="L203" s="79">
        <f>-21000-4659+4659-7932-23630-34495</f>
        <v>-87057</v>
      </c>
      <c r="M203" s="79">
        <f>SUM(K203:L203)</f>
        <v>1269779</v>
      </c>
      <c r="N203" s="79"/>
      <c r="O203" s="79">
        <f>SUM(M203:N203)</f>
        <v>1269779</v>
      </c>
      <c r="P203" s="79">
        <v>-15000</v>
      </c>
      <c r="Q203" s="79">
        <f>SUM(O203:P203)</f>
        <v>1254779</v>
      </c>
      <c r="R203" s="79">
        <f>-30000-40000</f>
        <v>-70000</v>
      </c>
      <c r="S203" s="79">
        <f>SUM(Q203:R203)</f>
        <v>1184779</v>
      </c>
    </row>
    <row r="204" spans="1:19" s="26" customFormat="1" ht="21" customHeight="1">
      <c r="A204" s="66"/>
      <c r="B204" s="85"/>
      <c r="C204" s="84">
        <v>6800</v>
      </c>
      <c r="D204" s="41" t="s">
        <v>244</v>
      </c>
      <c r="E204" s="79">
        <f>40000</f>
        <v>40000</v>
      </c>
      <c r="F204" s="79">
        <f>80000+200000</f>
        <v>280000</v>
      </c>
      <c r="G204" s="79">
        <f>SUM(E204:F204)</f>
        <v>320000</v>
      </c>
      <c r="H204" s="79"/>
      <c r="I204" s="79">
        <f>SUM(G204:H204)</f>
        <v>320000</v>
      </c>
      <c r="J204" s="79"/>
      <c r="K204" s="79">
        <f>SUM(I204:J204)</f>
        <v>320000</v>
      </c>
      <c r="L204" s="79">
        <v>-40000</v>
      </c>
      <c r="M204" s="79">
        <f>SUM(K204:L204)</f>
        <v>280000</v>
      </c>
      <c r="N204" s="79"/>
      <c r="O204" s="79">
        <f>SUM(M204:N204)</f>
        <v>280000</v>
      </c>
      <c r="P204" s="79">
        <v>-15000</v>
      </c>
      <c r="Q204" s="79">
        <f>SUM(O204:P204)</f>
        <v>265000</v>
      </c>
      <c r="R204" s="79"/>
      <c r="S204" s="79">
        <f>SUM(Q204:R204)</f>
        <v>265000</v>
      </c>
    </row>
    <row r="205" spans="1:19" s="9" customFormat="1" ht="20.25" customHeight="1">
      <c r="A205" s="36" t="s">
        <v>107</v>
      </c>
      <c r="B205" s="37"/>
      <c r="C205" s="38"/>
      <c r="D205" s="39" t="s">
        <v>108</v>
      </c>
      <c r="E205" s="40">
        <f aca="true" t="shared" si="126" ref="E205:K205">SUM(E206,E230,E248,E275,E298,E305,E310,E324)</f>
        <v>30407140</v>
      </c>
      <c r="F205" s="40">
        <f t="shared" si="126"/>
        <v>-763637</v>
      </c>
      <c r="G205" s="40">
        <f t="shared" si="126"/>
        <v>29643503</v>
      </c>
      <c r="H205" s="40">
        <f t="shared" si="126"/>
        <v>0</v>
      </c>
      <c r="I205" s="40">
        <f t="shared" si="126"/>
        <v>29643503</v>
      </c>
      <c r="J205" s="40">
        <f t="shared" si="126"/>
        <v>618180</v>
      </c>
      <c r="K205" s="40">
        <f t="shared" si="126"/>
        <v>30261683</v>
      </c>
      <c r="L205" s="40">
        <f aca="true" t="shared" si="127" ref="L205:Q205">SUM(L206,L230,L248,L275,L298,L305,L310,L324)</f>
        <v>0</v>
      </c>
      <c r="M205" s="40">
        <f t="shared" si="127"/>
        <v>30261683</v>
      </c>
      <c r="N205" s="40">
        <f t="shared" si="127"/>
        <v>120000</v>
      </c>
      <c r="O205" s="40">
        <f t="shared" si="127"/>
        <v>30381683</v>
      </c>
      <c r="P205" s="40">
        <f t="shared" si="127"/>
        <v>29625</v>
      </c>
      <c r="Q205" s="40">
        <f t="shared" si="127"/>
        <v>30411308</v>
      </c>
      <c r="R205" s="40">
        <f>SUM(R206,R230,R248,R275,R298,R305,R310,R324)</f>
        <v>0</v>
      </c>
      <c r="S205" s="40">
        <f>SUM(S206,S230,S248,S275,S298,S305,S310,S324)</f>
        <v>30411308</v>
      </c>
    </row>
    <row r="206" spans="1:19" s="26" customFormat="1" ht="22.5" customHeight="1">
      <c r="A206" s="66"/>
      <c r="B206" s="80" t="s">
        <v>109</v>
      </c>
      <c r="C206" s="84"/>
      <c r="D206" s="41" t="s">
        <v>51</v>
      </c>
      <c r="E206" s="79">
        <f aca="true" t="shared" si="128" ref="E206:K206">SUM(E207:E229)</f>
        <v>13432532</v>
      </c>
      <c r="F206" s="79">
        <f t="shared" si="128"/>
        <v>800</v>
      </c>
      <c r="G206" s="79">
        <f t="shared" si="128"/>
        <v>13433332</v>
      </c>
      <c r="H206" s="79">
        <f t="shared" si="128"/>
        <v>0</v>
      </c>
      <c r="I206" s="79">
        <f t="shared" si="128"/>
        <v>13433332</v>
      </c>
      <c r="J206" s="79">
        <f t="shared" si="128"/>
        <v>210914</v>
      </c>
      <c r="K206" s="79">
        <f t="shared" si="128"/>
        <v>13644246</v>
      </c>
      <c r="L206" s="79">
        <f aca="true" t="shared" si="129" ref="L206:Q206">SUM(L207:L229)</f>
        <v>0</v>
      </c>
      <c r="M206" s="79">
        <f t="shared" si="129"/>
        <v>13644246</v>
      </c>
      <c r="N206" s="79">
        <f t="shared" si="129"/>
        <v>120000</v>
      </c>
      <c r="O206" s="79">
        <f t="shared" si="129"/>
        <v>13764246</v>
      </c>
      <c r="P206" s="79">
        <f t="shared" si="129"/>
        <v>13820</v>
      </c>
      <c r="Q206" s="79">
        <f t="shared" si="129"/>
        <v>13778066</v>
      </c>
      <c r="R206" s="79">
        <f>SUM(R207:R229)</f>
        <v>0</v>
      </c>
      <c r="S206" s="79">
        <f>SUM(S207:S229)</f>
        <v>13778066</v>
      </c>
    </row>
    <row r="207" spans="1:19" s="26" customFormat="1" ht="53.25" customHeight="1">
      <c r="A207" s="66"/>
      <c r="B207" s="80"/>
      <c r="C207" s="84">
        <v>2590</v>
      </c>
      <c r="D207" s="41" t="s">
        <v>246</v>
      </c>
      <c r="E207" s="79">
        <f>1082244-51225-3</f>
        <v>1031016</v>
      </c>
      <c r="F207" s="79"/>
      <c r="G207" s="79">
        <f>SUM(E207:F207)</f>
        <v>1031016</v>
      </c>
      <c r="H207" s="79"/>
      <c r="I207" s="79">
        <f>SUM(G207:H207)</f>
        <v>1031016</v>
      </c>
      <c r="J207" s="79"/>
      <c r="K207" s="79">
        <f>SUM(I207:J207)</f>
        <v>1031016</v>
      </c>
      <c r="L207" s="79"/>
      <c r="M207" s="79">
        <f>SUM(K207:L207)</f>
        <v>1031016</v>
      </c>
      <c r="N207" s="79"/>
      <c r="O207" s="79">
        <f>SUM(M207:N207)</f>
        <v>1031016</v>
      </c>
      <c r="P207" s="79"/>
      <c r="Q207" s="79">
        <f>SUM(O207:P207)</f>
        <v>1031016</v>
      </c>
      <c r="R207" s="79"/>
      <c r="S207" s="79">
        <f>SUM(Q207:R207)</f>
        <v>1031016</v>
      </c>
    </row>
    <row r="208" spans="1:19" s="26" customFormat="1" ht="21" customHeight="1">
      <c r="A208" s="66"/>
      <c r="B208" s="80"/>
      <c r="C208" s="66">
        <v>3020</v>
      </c>
      <c r="D208" s="41" t="s">
        <v>206</v>
      </c>
      <c r="E208" s="79">
        <v>212720</v>
      </c>
      <c r="F208" s="79"/>
      <c r="G208" s="79">
        <f aca="true" t="shared" si="130" ref="G208:G229">SUM(E208:F208)</f>
        <v>212720</v>
      </c>
      <c r="H208" s="79"/>
      <c r="I208" s="79">
        <f aca="true" t="shared" si="131" ref="I208:I229">SUM(G208:H208)</f>
        <v>212720</v>
      </c>
      <c r="J208" s="79">
        <v>2210</v>
      </c>
      <c r="K208" s="79">
        <f aca="true" t="shared" si="132" ref="K208:K229">SUM(I208:J208)</f>
        <v>214930</v>
      </c>
      <c r="L208" s="79"/>
      <c r="M208" s="79">
        <f aca="true" t="shared" si="133" ref="M208:M229">SUM(K208:L208)</f>
        <v>214930</v>
      </c>
      <c r="N208" s="79"/>
      <c r="O208" s="79">
        <f aca="true" t="shared" si="134" ref="O208:O229">SUM(M208:N208)</f>
        <v>214930</v>
      </c>
      <c r="P208" s="79">
        <v>12236</v>
      </c>
      <c r="Q208" s="79">
        <f aca="true" t="shared" si="135" ref="Q208:Q229">SUM(O208:P208)</f>
        <v>227166</v>
      </c>
      <c r="R208" s="79"/>
      <c r="S208" s="79">
        <f aca="true" t="shared" si="136" ref="S208:S229">SUM(Q208:R208)</f>
        <v>227166</v>
      </c>
    </row>
    <row r="209" spans="1:19" s="26" customFormat="1" ht="21" customHeight="1">
      <c r="A209" s="66"/>
      <c r="B209" s="80"/>
      <c r="C209" s="66">
        <v>4010</v>
      </c>
      <c r="D209" s="41" t="s">
        <v>82</v>
      </c>
      <c r="E209" s="79">
        <v>7697866</v>
      </c>
      <c r="F209" s="79"/>
      <c r="G209" s="79">
        <f t="shared" si="130"/>
        <v>7697866</v>
      </c>
      <c r="H209" s="79"/>
      <c r="I209" s="79">
        <f t="shared" si="131"/>
        <v>7697866</v>
      </c>
      <c r="J209" s="79">
        <f>22761+171672</f>
        <v>194433</v>
      </c>
      <c r="K209" s="79">
        <f t="shared" si="132"/>
        <v>7892299</v>
      </c>
      <c r="L209" s="79"/>
      <c r="M209" s="79">
        <f t="shared" si="133"/>
        <v>7892299</v>
      </c>
      <c r="N209" s="79"/>
      <c r="O209" s="79">
        <f t="shared" si="134"/>
        <v>7892299</v>
      </c>
      <c r="P209" s="79">
        <v>-202</v>
      </c>
      <c r="Q209" s="79">
        <f t="shared" si="135"/>
        <v>7892097</v>
      </c>
      <c r="R209" s="79"/>
      <c r="S209" s="79">
        <f t="shared" si="136"/>
        <v>7892097</v>
      </c>
    </row>
    <row r="210" spans="1:19" s="26" customFormat="1" ht="21" customHeight="1">
      <c r="A210" s="66"/>
      <c r="B210" s="80"/>
      <c r="C210" s="66">
        <v>4040</v>
      </c>
      <c r="D210" s="41" t="s">
        <v>83</v>
      </c>
      <c r="E210" s="79">
        <v>618463</v>
      </c>
      <c r="F210" s="79"/>
      <c r="G210" s="79">
        <f t="shared" si="130"/>
        <v>618463</v>
      </c>
      <c r="H210" s="79"/>
      <c r="I210" s="79">
        <f t="shared" si="131"/>
        <v>618463</v>
      </c>
      <c r="J210" s="79">
        <v>-24136</v>
      </c>
      <c r="K210" s="79">
        <f t="shared" si="132"/>
        <v>594327</v>
      </c>
      <c r="L210" s="79"/>
      <c r="M210" s="79">
        <f t="shared" si="133"/>
        <v>594327</v>
      </c>
      <c r="N210" s="79"/>
      <c r="O210" s="79">
        <f t="shared" si="134"/>
        <v>594327</v>
      </c>
      <c r="P210" s="79">
        <f>1419-1217</f>
        <v>202</v>
      </c>
      <c r="Q210" s="79">
        <f t="shared" si="135"/>
        <v>594529</v>
      </c>
      <c r="R210" s="79"/>
      <c r="S210" s="79">
        <f t="shared" si="136"/>
        <v>594529</v>
      </c>
    </row>
    <row r="211" spans="1:19" s="26" customFormat="1" ht="21" customHeight="1">
      <c r="A211" s="66"/>
      <c r="B211" s="80"/>
      <c r="C211" s="66">
        <v>4110</v>
      </c>
      <c r="D211" s="41" t="s">
        <v>84</v>
      </c>
      <c r="E211" s="79">
        <v>1297837</v>
      </c>
      <c r="F211" s="79"/>
      <c r="G211" s="79">
        <f t="shared" si="130"/>
        <v>1297837</v>
      </c>
      <c r="H211" s="79"/>
      <c r="I211" s="79">
        <f t="shared" si="131"/>
        <v>1297837</v>
      </c>
      <c r="J211" s="79">
        <v>26387</v>
      </c>
      <c r="K211" s="79">
        <f t="shared" si="132"/>
        <v>1324224</v>
      </c>
      <c r="L211" s="79"/>
      <c r="M211" s="79">
        <f t="shared" si="133"/>
        <v>1324224</v>
      </c>
      <c r="N211" s="79"/>
      <c r="O211" s="79">
        <f t="shared" si="134"/>
        <v>1324224</v>
      </c>
      <c r="P211" s="79"/>
      <c r="Q211" s="79">
        <f t="shared" si="135"/>
        <v>1324224</v>
      </c>
      <c r="R211" s="79"/>
      <c r="S211" s="79">
        <f t="shared" si="136"/>
        <v>1324224</v>
      </c>
    </row>
    <row r="212" spans="1:19" s="26" customFormat="1" ht="21" customHeight="1">
      <c r="A212" s="66"/>
      <c r="B212" s="80"/>
      <c r="C212" s="66">
        <v>4120</v>
      </c>
      <c r="D212" s="41" t="s">
        <v>85</v>
      </c>
      <c r="E212" s="79">
        <v>209588</v>
      </c>
      <c r="F212" s="79"/>
      <c r="G212" s="79">
        <f t="shared" si="130"/>
        <v>209588</v>
      </c>
      <c r="H212" s="79"/>
      <c r="I212" s="79">
        <f t="shared" si="131"/>
        <v>209588</v>
      </c>
      <c r="J212" s="79">
        <v>4286</v>
      </c>
      <c r="K212" s="79">
        <f t="shared" si="132"/>
        <v>213874</v>
      </c>
      <c r="L212" s="79"/>
      <c r="M212" s="79">
        <f t="shared" si="133"/>
        <v>213874</v>
      </c>
      <c r="N212" s="79"/>
      <c r="O212" s="79">
        <f t="shared" si="134"/>
        <v>213874</v>
      </c>
      <c r="P212" s="79"/>
      <c r="Q212" s="79">
        <f t="shared" si="135"/>
        <v>213874</v>
      </c>
      <c r="R212" s="79"/>
      <c r="S212" s="79">
        <f t="shared" si="136"/>
        <v>213874</v>
      </c>
    </row>
    <row r="213" spans="1:19" s="26" customFormat="1" ht="21" customHeight="1">
      <c r="A213" s="66"/>
      <c r="B213" s="80"/>
      <c r="C213" s="66">
        <v>4170</v>
      </c>
      <c r="D213" s="41" t="s">
        <v>193</v>
      </c>
      <c r="E213" s="79">
        <v>26700</v>
      </c>
      <c r="F213" s="79">
        <v>1150</v>
      </c>
      <c r="G213" s="79">
        <f t="shared" si="130"/>
        <v>27850</v>
      </c>
      <c r="H213" s="79"/>
      <c r="I213" s="79">
        <f t="shared" si="131"/>
        <v>27850</v>
      </c>
      <c r="J213" s="79">
        <v>-500</v>
      </c>
      <c r="K213" s="79">
        <f t="shared" si="132"/>
        <v>27350</v>
      </c>
      <c r="L213" s="79"/>
      <c r="M213" s="79">
        <f t="shared" si="133"/>
        <v>27350</v>
      </c>
      <c r="N213" s="79"/>
      <c r="O213" s="79">
        <f t="shared" si="134"/>
        <v>27350</v>
      </c>
      <c r="P213" s="79"/>
      <c r="Q213" s="79">
        <f t="shared" si="135"/>
        <v>27350</v>
      </c>
      <c r="R213" s="79"/>
      <c r="S213" s="79">
        <f t="shared" si="136"/>
        <v>27350</v>
      </c>
    </row>
    <row r="214" spans="1:19" s="26" customFormat="1" ht="21" customHeight="1">
      <c r="A214" s="66"/>
      <c r="B214" s="80"/>
      <c r="C214" s="66">
        <v>4210</v>
      </c>
      <c r="D214" s="41" t="s">
        <v>90</v>
      </c>
      <c r="E214" s="79">
        <f>800+487906</f>
        <v>488706</v>
      </c>
      <c r="F214" s="79">
        <f>500+300</f>
        <v>800</v>
      </c>
      <c r="G214" s="79">
        <f t="shared" si="130"/>
        <v>489506</v>
      </c>
      <c r="H214" s="79"/>
      <c r="I214" s="79">
        <f t="shared" si="131"/>
        <v>489506</v>
      </c>
      <c r="J214" s="79">
        <v>-1496</v>
      </c>
      <c r="K214" s="79">
        <f t="shared" si="132"/>
        <v>488010</v>
      </c>
      <c r="L214" s="79"/>
      <c r="M214" s="79">
        <f t="shared" si="133"/>
        <v>488010</v>
      </c>
      <c r="N214" s="79"/>
      <c r="O214" s="79">
        <f t="shared" si="134"/>
        <v>488010</v>
      </c>
      <c r="P214" s="79">
        <v>2000</v>
      </c>
      <c r="Q214" s="79">
        <f t="shared" si="135"/>
        <v>490010</v>
      </c>
      <c r="R214" s="79"/>
      <c r="S214" s="79">
        <f t="shared" si="136"/>
        <v>490010</v>
      </c>
    </row>
    <row r="215" spans="1:19" s="26" customFormat="1" ht="23.25" customHeight="1">
      <c r="A215" s="66"/>
      <c r="B215" s="80"/>
      <c r="C215" s="84">
        <v>4230</v>
      </c>
      <c r="D215" s="41" t="s">
        <v>238</v>
      </c>
      <c r="E215" s="79">
        <v>1950</v>
      </c>
      <c r="F215" s="79"/>
      <c r="G215" s="79">
        <f t="shared" si="130"/>
        <v>1950</v>
      </c>
      <c r="H215" s="79"/>
      <c r="I215" s="79">
        <f t="shared" si="131"/>
        <v>1950</v>
      </c>
      <c r="J215" s="79"/>
      <c r="K215" s="79">
        <f t="shared" si="132"/>
        <v>1950</v>
      </c>
      <c r="L215" s="79"/>
      <c r="M215" s="79">
        <f t="shared" si="133"/>
        <v>1950</v>
      </c>
      <c r="N215" s="79"/>
      <c r="O215" s="79">
        <f t="shared" si="134"/>
        <v>1950</v>
      </c>
      <c r="P215" s="79"/>
      <c r="Q215" s="79">
        <f t="shared" si="135"/>
        <v>1950</v>
      </c>
      <c r="R215" s="79"/>
      <c r="S215" s="79">
        <f t="shared" si="136"/>
        <v>1950</v>
      </c>
    </row>
    <row r="216" spans="1:19" s="26" customFormat="1" ht="24.75" customHeight="1">
      <c r="A216" s="66"/>
      <c r="B216" s="80"/>
      <c r="C216" s="84">
        <v>4240</v>
      </c>
      <c r="D216" s="41" t="s">
        <v>121</v>
      </c>
      <c r="E216" s="79">
        <f>3400+148150</f>
        <v>151550</v>
      </c>
      <c r="F216" s="79"/>
      <c r="G216" s="79">
        <f t="shared" si="130"/>
        <v>151550</v>
      </c>
      <c r="H216" s="79"/>
      <c r="I216" s="79">
        <f t="shared" si="131"/>
        <v>151550</v>
      </c>
      <c r="J216" s="79">
        <v>1496</v>
      </c>
      <c r="K216" s="79">
        <f t="shared" si="132"/>
        <v>153046</v>
      </c>
      <c r="L216" s="79"/>
      <c r="M216" s="79">
        <f t="shared" si="133"/>
        <v>153046</v>
      </c>
      <c r="N216" s="79"/>
      <c r="O216" s="79">
        <f t="shared" si="134"/>
        <v>153046</v>
      </c>
      <c r="P216" s="79">
        <v>-2000</v>
      </c>
      <c r="Q216" s="79">
        <f t="shared" si="135"/>
        <v>151046</v>
      </c>
      <c r="R216" s="79"/>
      <c r="S216" s="79">
        <f t="shared" si="136"/>
        <v>151046</v>
      </c>
    </row>
    <row r="217" spans="1:19" s="26" customFormat="1" ht="21" customHeight="1">
      <c r="A217" s="66"/>
      <c r="B217" s="80"/>
      <c r="C217" s="66">
        <v>4260</v>
      </c>
      <c r="D217" s="41" t="s">
        <v>93</v>
      </c>
      <c r="E217" s="79">
        <v>546902</v>
      </c>
      <c r="F217" s="79"/>
      <c r="G217" s="79">
        <f t="shared" si="130"/>
        <v>546902</v>
      </c>
      <c r="H217" s="79"/>
      <c r="I217" s="79">
        <f t="shared" si="131"/>
        <v>546902</v>
      </c>
      <c r="J217" s="79"/>
      <c r="K217" s="79">
        <f t="shared" si="132"/>
        <v>546902</v>
      </c>
      <c r="L217" s="79"/>
      <c r="M217" s="79">
        <f t="shared" si="133"/>
        <v>546902</v>
      </c>
      <c r="N217" s="79"/>
      <c r="O217" s="79">
        <f t="shared" si="134"/>
        <v>546902</v>
      </c>
      <c r="P217" s="79"/>
      <c r="Q217" s="79">
        <f t="shared" si="135"/>
        <v>546902</v>
      </c>
      <c r="R217" s="79"/>
      <c r="S217" s="79">
        <f t="shared" si="136"/>
        <v>546902</v>
      </c>
    </row>
    <row r="218" spans="1:19" s="26" customFormat="1" ht="21" customHeight="1">
      <c r="A218" s="66"/>
      <c r="B218" s="80"/>
      <c r="C218" s="66">
        <v>4270</v>
      </c>
      <c r="D218" s="41" t="s">
        <v>76</v>
      </c>
      <c r="E218" s="79">
        <f>250000+145863-30000</f>
        <v>365863</v>
      </c>
      <c r="F218" s="79">
        <v>-1150</v>
      </c>
      <c r="G218" s="79">
        <f t="shared" si="130"/>
        <v>364713</v>
      </c>
      <c r="H218" s="79"/>
      <c r="I218" s="79">
        <f t="shared" si="131"/>
        <v>364713</v>
      </c>
      <c r="J218" s="79">
        <v>8234</v>
      </c>
      <c r="K218" s="79">
        <f t="shared" si="132"/>
        <v>372947</v>
      </c>
      <c r="L218" s="79"/>
      <c r="M218" s="79">
        <f t="shared" si="133"/>
        <v>372947</v>
      </c>
      <c r="N218" s="79"/>
      <c r="O218" s="79">
        <f t="shared" si="134"/>
        <v>372947</v>
      </c>
      <c r="P218" s="79"/>
      <c r="Q218" s="79">
        <f t="shared" si="135"/>
        <v>372947</v>
      </c>
      <c r="R218" s="79"/>
      <c r="S218" s="79">
        <f t="shared" si="136"/>
        <v>372947</v>
      </c>
    </row>
    <row r="219" spans="1:19" s="26" customFormat="1" ht="21" customHeight="1">
      <c r="A219" s="66"/>
      <c r="B219" s="80"/>
      <c r="C219" s="66">
        <v>4280</v>
      </c>
      <c r="D219" s="41" t="s">
        <v>198</v>
      </c>
      <c r="E219" s="79">
        <v>20400</v>
      </c>
      <c r="F219" s="79"/>
      <c r="G219" s="79">
        <f t="shared" si="130"/>
        <v>20400</v>
      </c>
      <c r="H219" s="79"/>
      <c r="I219" s="79">
        <f t="shared" si="131"/>
        <v>20400</v>
      </c>
      <c r="J219" s="79"/>
      <c r="K219" s="79">
        <f t="shared" si="132"/>
        <v>20400</v>
      </c>
      <c r="L219" s="79"/>
      <c r="M219" s="79">
        <f t="shared" si="133"/>
        <v>20400</v>
      </c>
      <c r="N219" s="79"/>
      <c r="O219" s="79">
        <f t="shared" si="134"/>
        <v>20400</v>
      </c>
      <c r="P219" s="79"/>
      <c r="Q219" s="79">
        <f t="shared" si="135"/>
        <v>20400</v>
      </c>
      <c r="R219" s="79"/>
      <c r="S219" s="79">
        <f t="shared" si="136"/>
        <v>20400</v>
      </c>
    </row>
    <row r="220" spans="1:19" s="26" customFormat="1" ht="21" customHeight="1">
      <c r="A220" s="66"/>
      <c r="B220" s="80"/>
      <c r="C220" s="66">
        <v>4300</v>
      </c>
      <c r="D220" s="41" t="s">
        <v>77</v>
      </c>
      <c r="E220" s="79">
        <v>141982</v>
      </c>
      <c r="F220" s="79"/>
      <c r="G220" s="79">
        <f t="shared" si="130"/>
        <v>141982</v>
      </c>
      <c r="H220" s="79"/>
      <c r="I220" s="79">
        <f t="shared" si="131"/>
        <v>141982</v>
      </c>
      <c r="J220" s="79"/>
      <c r="K220" s="79">
        <f t="shared" si="132"/>
        <v>141982</v>
      </c>
      <c r="L220" s="79"/>
      <c r="M220" s="79">
        <f t="shared" si="133"/>
        <v>141982</v>
      </c>
      <c r="N220" s="79"/>
      <c r="O220" s="79">
        <f t="shared" si="134"/>
        <v>141982</v>
      </c>
      <c r="P220" s="79"/>
      <c r="Q220" s="79">
        <f t="shared" si="135"/>
        <v>141982</v>
      </c>
      <c r="R220" s="79"/>
      <c r="S220" s="79">
        <f t="shared" si="136"/>
        <v>141982</v>
      </c>
    </row>
    <row r="221" spans="1:19" s="26" customFormat="1" ht="21" customHeight="1">
      <c r="A221" s="66"/>
      <c r="B221" s="80"/>
      <c r="C221" s="66">
        <v>4350</v>
      </c>
      <c r="D221" s="41" t="s">
        <v>204</v>
      </c>
      <c r="E221" s="79">
        <v>5350</v>
      </c>
      <c r="F221" s="79"/>
      <c r="G221" s="79">
        <f t="shared" si="130"/>
        <v>5350</v>
      </c>
      <c r="H221" s="79"/>
      <c r="I221" s="79">
        <f t="shared" si="131"/>
        <v>5350</v>
      </c>
      <c r="J221" s="79"/>
      <c r="K221" s="79">
        <f t="shared" si="132"/>
        <v>5350</v>
      </c>
      <c r="L221" s="79"/>
      <c r="M221" s="79">
        <f t="shared" si="133"/>
        <v>5350</v>
      </c>
      <c r="N221" s="79"/>
      <c r="O221" s="79">
        <f t="shared" si="134"/>
        <v>5350</v>
      </c>
      <c r="P221" s="79">
        <v>1584</v>
      </c>
      <c r="Q221" s="79">
        <f t="shared" si="135"/>
        <v>6934</v>
      </c>
      <c r="R221" s="79"/>
      <c r="S221" s="79">
        <f t="shared" si="136"/>
        <v>6934</v>
      </c>
    </row>
    <row r="222" spans="1:19" s="26" customFormat="1" ht="33.75">
      <c r="A222" s="66"/>
      <c r="B222" s="80"/>
      <c r="C222" s="66">
        <v>4360</v>
      </c>
      <c r="D222" s="41" t="s">
        <v>295</v>
      </c>
      <c r="E222" s="79">
        <v>500</v>
      </c>
      <c r="F222" s="79"/>
      <c r="G222" s="79">
        <f t="shared" si="130"/>
        <v>500</v>
      </c>
      <c r="H222" s="79"/>
      <c r="I222" s="79">
        <f t="shared" si="131"/>
        <v>500</v>
      </c>
      <c r="J222" s="79"/>
      <c r="K222" s="79">
        <f t="shared" si="132"/>
        <v>500</v>
      </c>
      <c r="L222" s="79"/>
      <c r="M222" s="79">
        <f t="shared" si="133"/>
        <v>500</v>
      </c>
      <c r="N222" s="79"/>
      <c r="O222" s="79">
        <f t="shared" si="134"/>
        <v>500</v>
      </c>
      <c r="P222" s="79"/>
      <c r="Q222" s="79">
        <f t="shared" si="135"/>
        <v>500</v>
      </c>
      <c r="R222" s="79"/>
      <c r="S222" s="79">
        <f t="shared" si="136"/>
        <v>500</v>
      </c>
    </row>
    <row r="223" spans="1:19" s="26" customFormat="1" ht="33.75">
      <c r="A223" s="66"/>
      <c r="B223" s="80"/>
      <c r="C223" s="66">
        <v>4370</v>
      </c>
      <c r="D223" s="41" t="s">
        <v>294</v>
      </c>
      <c r="E223" s="79">
        <v>14500</v>
      </c>
      <c r="F223" s="79"/>
      <c r="G223" s="79">
        <f t="shared" si="130"/>
        <v>14500</v>
      </c>
      <c r="H223" s="79"/>
      <c r="I223" s="79">
        <f t="shared" si="131"/>
        <v>14500</v>
      </c>
      <c r="J223" s="79"/>
      <c r="K223" s="79">
        <f t="shared" si="132"/>
        <v>14500</v>
      </c>
      <c r="L223" s="79"/>
      <c r="M223" s="79">
        <f t="shared" si="133"/>
        <v>14500</v>
      </c>
      <c r="N223" s="79"/>
      <c r="O223" s="79">
        <f t="shared" si="134"/>
        <v>14500</v>
      </c>
      <c r="P223" s="79"/>
      <c r="Q223" s="79">
        <f t="shared" si="135"/>
        <v>14500</v>
      </c>
      <c r="R223" s="79"/>
      <c r="S223" s="79">
        <f t="shared" si="136"/>
        <v>14500</v>
      </c>
    </row>
    <row r="224" spans="1:19" s="26" customFormat="1" ht="22.5">
      <c r="A224" s="66"/>
      <c r="B224" s="80"/>
      <c r="C224" s="66">
        <v>4390</v>
      </c>
      <c r="D224" s="41" t="s">
        <v>247</v>
      </c>
      <c r="E224" s="79">
        <v>5100</v>
      </c>
      <c r="F224" s="79"/>
      <c r="G224" s="79">
        <f t="shared" si="130"/>
        <v>5100</v>
      </c>
      <c r="H224" s="79"/>
      <c r="I224" s="79">
        <f t="shared" si="131"/>
        <v>5100</v>
      </c>
      <c r="J224" s="79"/>
      <c r="K224" s="79">
        <f t="shared" si="132"/>
        <v>5100</v>
      </c>
      <c r="L224" s="79"/>
      <c r="M224" s="79">
        <f t="shared" si="133"/>
        <v>5100</v>
      </c>
      <c r="N224" s="79"/>
      <c r="O224" s="79">
        <f t="shared" si="134"/>
        <v>5100</v>
      </c>
      <c r="P224" s="79"/>
      <c r="Q224" s="79">
        <f t="shared" si="135"/>
        <v>5100</v>
      </c>
      <c r="R224" s="79"/>
      <c r="S224" s="79">
        <f t="shared" si="136"/>
        <v>5100</v>
      </c>
    </row>
    <row r="225" spans="1:19" s="26" customFormat="1" ht="21" customHeight="1">
      <c r="A225" s="66"/>
      <c r="B225" s="80"/>
      <c r="C225" s="66">
        <v>4410</v>
      </c>
      <c r="D225" s="41" t="s">
        <v>88</v>
      </c>
      <c r="E225" s="79">
        <v>18400</v>
      </c>
      <c r="F225" s="79"/>
      <c r="G225" s="79">
        <f t="shared" si="130"/>
        <v>18400</v>
      </c>
      <c r="H225" s="79"/>
      <c r="I225" s="79">
        <f t="shared" si="131"/>
        <v>18400</v>
      </c>
      <c r="J225" s="79"/>
      <c r="K225" s="79">
        <f t="shared" si="132"/>
        <v>18400</v>
      </c>
      <c r="L225" s="79"/>
      <c r="M225" s="79">
        <f t="shared" si="133"/>
        <v>18400</v>
      </c>
      <c r="N225" s="79"/>
      <c r="O225" s="79">
        <f t="shared" si="134"/>
        <v>18400</v>
      </c>
      <c r="P225" s="79"/>
      <c r="Q225" s="79">
        <f t="shared" si="135"/>
        <v>18400</v>
      </c>
      <c r="R225" s="79"/>
      <c r="S225" s="79">
        <f t="shared" si="136"/>
        <v>18400</v>
      </c>
    </row>
    <row r="226" spans="1:19" s="26" customFormat="1" ht="21" customHeight="1">
      <c r="A226" s="66"/>
      <c r="B226" s="80"/>
      <c r="C226" s="69">
        <v>4430</v>
      </c>
      <c r="D226" s="41" t="s">
        <v>92</v>
      </c>
      <c r="E226" s="79">
        <v>7100</v>
      </c>
      <c r="F226" s="79"/>
      <c r="G226" s="79">
        <f t="shared" si="130"/>
        <v>7100</v>
      </c>
      <c r="H226" s="79"/>
      <c r="I226" s="79">
        <f t="shared" si="131"/>
        <v>7100</v>
      </c>
      <c r="J226" s="79"/>
      <c r="K226" s="79">
        <f t="shared" si="132"/>
        <v>7100</v>
      </c>
      <c r="L226" s="79"/>
      <c r="M226" s="79">
        <f t="shared" si="133"/>
        <v>7100</v>
      </c>
      <c r="N226" s="79"/>
      <c r="O226" s="79">
        <f t="shared" si="134"/>
        <v>7100</v>
      </c>
      <c r="P226" s="79"/>
      <c r="Q226" s="79">
        <f t="shared" si="135"/>
        <v>7100</v>
      </c>
      <c r="R226" s="79"/>
      <c r="S226" s="79">
        <f t="shared" si="136"/>
        <v>7100</v>
      </c>
    </row>
    <row r="227" spans="1:19" s="26" customFormat="1" ht="22.5">
      <c r="A227" s="66"/>
      <c r="B227" s="80"/>
      <c r="C227" s="69">
        <v>4440</v>
      </c>
      <c r="D227" s="41" t="s">
        <v>86</v>
      </c>
      <c r="E227" s="79">
        <v>441539</v>
      </c>
      <c r="F227" s="79"/>
      <c r="G227" s="79">
        <f t="shared" si="130"/>
        <v>441539</v>
      </c>
      <c r="H227" s="79"/>
      <c r="I227" s="79">
        <f t="shared" si="131"/>
        <v>441539</v>
      </c>
      <c r="J227" s="79"/>
      <c r="K227" s="79">
        <f t="shared" si="132"/>
        <v>441539</v>
      </c>
      <c r="L227" s="79"/>
      <c r="M227" s="79">
        <f t="shared" si="133"/>
        <v>441539</v>
      </c>
      <c r="N227" s="79"/>
      <c r="O227" s="79">
        <f t="shared" si="134"/>
        <v>441539</v>
      </c>
      <c r="P227" s="79"/>
      <c r="Q227" s="79">
        <f t="shared" si="135"/>
        <v>441539</v>
      </c>
      <c r="R227" s="79"/>
      <c r="S227" s="79">
        <f t="shared" si="136"/>
        <v>441539</v>
      </c>
    </row>
    <row r="228" spans="1:19" s="26" customFormat="1" ht="22.5">
      <c r="A228" s="66"/>
      <c r="B228" s="80"/>
      <c r="C228" s="69">
        <v>4700</v>
      </c>
      <c r="D228" s="41" t="s">
        <v>239</v>
      </c>
      <c r="E228" s="79">
        <v>8500</v>
      </c>
      <c r="F228" s="79"/>
      <c r="G228" s="79">
        <f t="shared" si="130"/>
        <v>8500</v>
      </c>
      <c r="H228" s="79"/>
      <c r="I228" s="79">
        <f t="shared" si="131"/>
        <v>8500</v>
      </c>
      <c r="J228" s="79"/>
      <c r="K228" s="79">
        <f t="shared" si="132"/>
        <v>8500</v>
      </c>
      <c r="L228" s="79"/>
      <c r="M228" s="79">
        <f t="shared" si="133"/>
        <v>8500</v>
      </c>
      <c r="N228" s="79"/>
      <c r="O228" s="79">
        <f t="shared" si="134"/>
        <v>8500</v>
      </c>
      <c r="P228" s="79"/>
      <c r="Q228" s="79">
        <f t="shared" si="135"/>
        <v>8500</v>
      </c>
      <c r="R228" s="79"/>
      <c r="S228" s="79">
        <f t="shared" si="136"/>
        <v>8500</v>
      </c>
    </row>
    <row r="229" spans="1:19" s="26" customFormat="1" ht="21" customHeight="1">
      <c r="A229" s="66"/>
      <c r="B229" s="80"/>
      <c r="C229" s="69">
        <v>6050</v>
      </c>
      <c r="D229" s="14" t="s">
        <v>71</v>
      </c>
      <c r="E229" s="79">
        <v>120000</v>
      </c>
      <c r="F229" s="79"/>
      <c r="G229" s="79">
        <f t="shared" si="130"/>
        <v>120000</v>
      </c>
      <c r="H229" s="79"/>
      <c r="I229" s="79">
        <f t="shared" si="131"/>
        <v>120000</v>
      </c>
      <c r="J229" s="79"/>
      <c r="K229" s="79">
        <f t="shared" si="132"/>
        <v>120000</v>
      </c>
      <c r="L229" s="79"/>
      <c r="M229" s="79">
        <f t="shared" si="133"/>
        <v>120000</v>
      </c>
      <c r="N229" s="79">
        <v>120000</v>
      </c>
      <c r="O229" s="79">
        <f t="shared" si="134"/>
        <v>240000</v>
      </c>
      <c r="P229" s="79"/>
      <c r="Q229" s="79">
        <f t="shared" si="135"/>
        <v>240000</v>
      </c>
      <c r="R229" s="79"/>
      <c r="S229" s="79">
        <f t="shared" si="136"/>
        <v>240000</v>
      </c>
    </row>
    <row r="230" spans="1:19" s="26" customFormat="1" ht="27" customHeight="1">
      <c r="A230" s="66"/>
      <c r="B230" s="80">
        <v>80103</v>
      </c>
      <c r="C230" s="69"/>
      <c r="D230" s="41" t="s">
        <v>202</v>
      </c>
      <c r="E230" s="79">
        <f aca="true" t="shared" si="137" ref="E230:K230">SUM(E231:E247)</f>
        <v>753746</v>
      </c>
      <c r="F230" s="79">
        <f t="shared" si="137"/>
        <v>0</v>
      </c>
      <c r="G230" s="79">
        <f t="shared" si="137"/>
        <v>753746</v>
      </c>
      <c r="H230" s="79">
        <f t="shared" si="137"/>
        <v>0</v>
      </c>
      <c r="I230" s="79">
        <f t="shared" si="137"/>
        <v>753746</v>
      </c>
      <c r="J230" s="79">
        <f t="shared" si="137"/>
        <v>11534</v>
      </c>
      <c r="K230" s="79">
        <f t="shared" si="137"/>
        <v>765280</v>
      </c>
      <c r="L230" s="79">
        <f aca="true" t="shared" si="138" ref="L230:Q230">SUM(L231:L247)</f>
        <v>0</v>
      </c>
      <c r="M230" s="79">
        <f t="shared" si="138"/>
        <v>765280</v>
      </c>
      <c r="N230" s="79">
        <f t="shared" si="138"/>
        <v>0</v>
      </c>
      <c r="O230" s="79">
        <f t="shared" si="138"/>
        <v>765280</v>
      </c>
      <c r="P230" s="79">
        <f t="shared" si="138"/>
        <v>0</v>
      </c>
      <c r="Q230" s="79">
        <f t="shared" si="138"/>
        <v>765280</v>
      </c>
      <c r="R230" s="79">
        <f>SUM(R231:R247)</f>
        <v>0</v>
      </c>
      <c r="S230" s="79">
        <f>SUM(S231:S247)</f>
        <v>765280</v>
      </c>
    </row>
    <row r="231" spans="1:19" s="26" customFormat="1" ht="48.75" customHeight="1">
      <c r="A231" s="66"/>
      <c r="B231" s="80"/>
      <c r="C231" s="84">
        <v>2590</v>
      </c>
      <c r="D231" s="41" t="s">
        <v>246</v>
      </c>
      <c r="E231" s="79">
        <f>103480-25064</f>
        <v>78416</v>
      </c>
      <c r="F231" s="79"/>
      <c r="G231" s="79">
        <f>SUM(E231:F231)</f>
        <v>78416</v>
      </c>
      <c r="H231" s="79"/>
      <c r="I231" s="79">
        <f>SUM(G231:H231)</f>
        <v>78416</v>
      </c>
      <c r="J231" s="79"/>
      <c r="K231" s="79">
        <f>SUM(I231:J231)</f>
        <v>78416</v>
      </c>
      <c r="L231" s="79"/>
      <c r="M231" s="79">
        <f>SUM(K231:L231)</f>
        <v>78416</v>
      </c>
      <c r="N231" s="79"/>
      <c r="O231" s="79">
        <f>SUM(M231:N231)</f>
        <v>78416</v>
      </c>
      <c r="P231" s="79"/>
      <c r="Q231" s="79">
        <f>SUM(O231:P231)</f>
        <v>78416</v>
      </c>
      <c r="R231" s="79"/>
      <c r="S231" s="79">
        <f>SUM(Q231:R231)</f>
        <v>78416</v>
      </c>
    </row>
    <row r="232" spans="1:19" s="26" customFormat="1" ht="21" customHeight="1">
      <c r="A232" s="66"/>
      <c r="B232" s="80"/>
      <c r="C232" s="84">
        <v>3020</v>
      </c>
      <c r="D232" s="41" t="s">
        <v>190</v>
      </c>
      <c r="E232" s="79">
        <v>27659</v>
      </c>
      <c r="F232" s="79"/>
      <c r="G232" s="79">
        <f aca="true" t="shared" si="139" ref="G232:G247">SUM(E232:F232)</f>
        <v>27659</v>
      </c>
      <c r="H232" s="79"/>
      <c r="I232" s="79">
        <f aca="true" t="shared" si="140" ref="I232:I247">SUM(G232:H232)</f>
        <v>27659</v>
      </c>
      <c r="J232" s="79">
        <v>525</v>
      </c>
      <c r="K232" s="79">
        <f aca="true" t="shared" si="141" ref="K232:K247">SUM(I232:J232)</f>
        <v>28184</v>
      </c>
      <c r="L232" s="79"/>
      <c r="M232" s="79">
        <f aca="true" t="shared" si="142" ref="M232:M247">SUM(K232:L232)</f>
        <v>28184</v>
      </c>
      <c r="N232" s="79"/>
      <c r="O232" s="79">
        <f aca="true" t="shared" si="143" ref="O232:O247">SUM(M232:N232)</f>
        <v>28184</v>
      </c>
      <c r="P232" s="79"/>
      <c r="Q232" s="79">
        <f aca="true" t="shared" si="144" ref="Q232:Q247">SUM(O232:P232)</f>
        <v>28184</v>
      </c>
      <c r="R232" s="79"/>
      <c r="S232" s="79">
        <f aca="true" t="shared" si="145" ref="S232:S247">SUM(Q232:R232)</f>
        <v>28184</v>
      </c>
    </row>
    <row r="233" spans="1:19" s="26" customFormat="1" ht="21" customHeight="1">
      <c r="A233" s="66"/>
      <c r="B233" s="80"/>
      <c r="C233" s="84">
        <v>4010</v>
      </c>
      <c r="D233" s="41" t="s">
        <v>82</v>
      </c>
      <c r="E233" s="79">
        <v>413481</v>
      </c>
      <c r="F233" s="79"/>
      <c r="G233" s="79">
        <f t="shared" si="139"/>
        <v>413481</v>
      </c>
      <c r="H233" s="79"/>
      <c r="I233" s="79">
        <f t="shared" si="140"/>
        <v>413481</v>
      </c>
      <c r="J233" s="79">
        <f>1901+9426</f>
        <v>11327</v>
      </c>
      <c r="K233" s="79">
        <f t="shared" si="141"/>
        <v>424808</v>
      </c>
      <c r="L233" s="79"/>
      <c r="M233" s="79">
        <f t="shared" si="142"/>
        <v>424808</v>
      </c>
      <c r="N233" s="79"/>
      <c r="O233" s="79">
        <f t="shared" si="143"/>
        <v>424808</v>
      </c>
      <c r="P233" s="79"/>
      <c r="Q233" s="79">
        <f t="shared" si="144"/>
        <v>424808</v>
      </c>
      <c r="R233" s="79"/>
      <c r="S233" s="79">
        <f t="shared" si="145"/>
        <v>424808</v>
      </c>
    </row>
    <row r="234" spans="1:19" s="26" customFormat="1" ht="21" customHeight="1">
      <c r="A234" s="66"/>
      <c r="B234" s="80"/>
      <c r="C234" s="84">
        <v>4040</v>
      </c>
      <c r="D234" s="41" t="s">
        <v>83</v>
      </c>
      <c r="E234" s="79">
        <v>30149</v>
      </c>
      <c r="F234" s="79"/>
      <c r="G234" s="79">
        <f t="shared" si="139"/>
        <v>30149</v>
      </c>
      <c r="H234" s="79"/>
      <c r="I234" s="79">
        <f t="shared" si="140"/>
        <v>30149</v>
      </c>
      <c r="J234" s="79">
        <v>-2103</v>
      </c>
      <c r="K234" s="79">
        <f t="shared" si="141"/>
        <v>28046</v>
      </c>
      <c r="L234" s="79"/>
      <c r="M234" s="79">
        <f t="shared" si="142"/>
        <v>28046</v>
      </c>
      <c r="N234" s="79"/>
      <c r="O234" s="79">
        <f t="shared" si="143"/>
        <v>28046</v>
      </c>
      <c r="P234" s="79"/>
      <c r="Q234" s="79">
        <f t="shared" si="144"/>
        <v>28046</v>
      </c>
      <c r="R234" s="79"/>
      <c r="S234" s="79">
        <f t="shared" si="145"/>
        <v>28046</v>
      </c>
    </row>
    <row r="235" spans="1:19" s="26" customFormat="1" ht="21" customHeight="1">
      <c r="A235" s="66"/>
      <c r="B235" s="80"/>
      <c r="C235" s="84">
        <v>4110</v>
      </c>
      <c r="D235" s="41" t="s">
        <v>84</v>
      </c>
      <c r="E235" s="79">
        <v>75243</v>
      </c>
      <c r="F235" s="79"/>
      <c r="G235" s="79">
        <f t="shared" si="139"/>
        <v>75243</v>
      </c>
      <c r="H235" s="79"/>
      <c r="I235" s="79">
        <f t="shared" si="140"/>
        <v>75243</v>
      </c>
      <c r="J235" s="79">
        <v>1538</v>
      </c>
      <c r="K235" s="79">
        <f t="shared" si="141"/>
        <v>76781</v>
      </c>
      <c r="L235" s="79"/>
      <c r="M235" s="79">
        <f t="shared" si="142"/>
        <v>76781</v>
      </c>
      <c r="N235" s="79"/>
      <c r="O235" s="79">
        <f t="shared" si="143"/>
        <v>76781</v>
      </c>
      <c r="P235" s="79"/>
      <c r="Q235" s="79">
        <f t="shared" si="144"/>
        <v>76781</v>
      </c>
      <c r="R235" s="79"/>
      <c r="S235" s="79">
        <f t="shared" si="145"/>
        <v>76781</v>
      </c>
    </row>
    <row r="236" spans="1:19" s="26" customFormat="1" ht="21" customHeight="1">
      <c r="A236" s="66"/>
      <c r="B236" s="80"/>
      <c r="C236" s="84">
        <v>4120</v>
      </c>
      <c r="D236" s="41" t="s">
        <v>85</v>
      </c>
      <c r="E236" s="79">
        <v>12154</v>
      </c>
      <c r="F236" s="79"/>
      <c r="G236" s="79">
        <f t="shared" si="139"/>
        <v>12154</v>
      </c>
      <c r="H236" s="79"/>
      <c r="I236" s="79">
        <f t="shared" si="140"/>
        <v>12154</v>
      </c>
      <c r="J236" s="79">
        <v>247</v>
      </c>
      <c r="K236" s="79">
        <f t="shared" si="141"/>
        <v>12401</v>
      </c>
      <c r="L236" s="79"/>
      <c r="M236" s="79">
        <f t="shared" si="142"/>
        <v>12401</v>
      </c>
      <c r="N236" s="79"/>
      <c r="O236" s="79">
        <f t="shared" si="143"/>
        <v>12401</v>
      </c>
      <c r="P236" s="79"/>
      <c r="Q236" s="79">
        <f t="shared" si="144"/>
        <v>12401</v>
      </c>
      <c r="R236" s="79"/>
      <c r="S236" s="79">
        <f t="shared" si="145"/>
        <v>12401</v>
      </c>
    </row>
    <row r="237" spans="1:19" s="26" customFormat="1" ht="21" customHeight="1">
      <c r="A237" s="66"/>
      <c r="B237" s="80"/>
      <c r="C237" s="84">
        <v>4170</v>
      </c>
      <c r="D237" s="41" t="s">
        <v>193</v>
      </c>
      <c r="E237" s="79">
        <v>21000</v>
      </c>
      <c r="F237" s="79"/>
      <c r="G237" s="79">
        <f t="shared" si="139"/>
        <v>21000</v>
      </c>
      <c r="H237" s="79"/>
      <c r="I237" s="79">
        <f t="shared" si="140"/>
        <v>21000</v>
      </c>
      <c r="J237" s="79"/>
      <c r="K237" s="79">
        <f t="shared" si="141"/>
        <v>21000</v>
      </c>
      <c r="L237" s="79"/>
      <c r="M237" s="79">
        <f t="shared" si="142"/>
        <v>21000</v>
      </c>
      <c r="N237" s="79"/>
      <c r="O237" s="79">
        <f t="shared" si="143"/>
        <v>21000</v>
      </c>
      <c r="P237" s="79"/>
      <c r="Q237" s="79">
        <f t="shared" si="144"/>
        <v>21000</v>
      </c>
      <c r="R237" s="79"/>
      <c r="S237" s="79">
        <f t="shared" si="145"/>
        <v>21000</v>
      </c>
    </row>
    <row r="238" spans="1:19" s="26" customFormat="1" ht="21" customHeight="1">
      <c r="A238" s="66"/>
      <c r="B238" s="80"/>
      <c r="C238" s="84">
        <v>4210</v>
      </c>
      <c r="D238" s="41" t="s">
        <v>70</v>
      </c>
      <c r="E238" s="79">
        <f>37600+800-300</f>
        <v>38100</v>
      </c>
      <c r="F238" s="79"/>
      <c r="G238" s="79">
        <f t="shared" si="139"/>
        <v>38100</v>
      </c>
      <c r="H238" s="79"/>
      <c r="I238" s="79">
        <f t="shared" si="140"/>
        <v>38100</v>
      </c>
      <c r="J238" s="79"/>
      <c r="K238" s="79">
        <f t="shared" si="141"/>
        <v>38100</v>
      </c>
      <c r="L238" s="79"/>
      <c r="M238" s="79">
        <f t="shared" si="142"/>
        <v>38100</v>
      </c>
      <c r="N238" s="79"/>
      <c r="O238" s="79">
        <f t="shared" si="143"/>
        <v>38100</v>
      </c>
      <c r="P238" s="79"/>
      <c r="Q238" s="79">
        <f t="shared" si="144"/>
        <v>38100</v>
      </c>
      <c r="R238" s="79"/>
      <c r="S238" s="79">
        <f t="shared" si="145"/>
        <v>38100</v>
      </c>
    </row>
    <row r="239" spans="1:19" s="26" customFormat="1" ht="21" customHeight="1">
      <c r="A239" s="66"/>
      <c r="B239" s="80"/>
      <c r="C239" s="84">
        <v>4230</v>
      </c>
      <c r="D239" s="41" t="s">
        <v>238</v>
      </c>
      <c r="E239" s="79">
        <v>150</v>
      </c>
      <c r="F239" s="79"/>
      <c r="G239" s="79">
        <f t="shared" si="139"/>
        <v>150</v>
      </c>
      <c r="H239" s="79"/>
      <c r="I239" s="79">
        <f t="shared" si="140"/>
        <v>150</v>
      </c>
      <c r="J239" s="79"/>
      <c r="K239" s="79">
        <f t="shared" si="141"/>
        <v>150</v>
      </c>
      <c r="L239" s="79"/>
      <c r="M239" s="79">
        <f t="shared" si="142"/>
        <v>150</v>
      </c>
      <c r="N239" s="79"/>
      <c r="O239" s="79">
        <f t="shared" si="143"/>
        <v>150</v>
      </c>
      <c r="P239" s="79"/>
      <c r="Q239" s="79">
        <f t="shared" si="144"/>
        <v>150</v>
      </c>
      <c r="R239" s="79"/>
      <c r="S239" s="79">
        <f t="shared" si="145"/>
        <v>150</v>
      </c>
    </row>
    <row r="240" spans="1:19" s="26" customFormat="1" ht="21" customHeight="1">
      <c r="A240" s="66"/>
      <c r="B240" s="80"/>
      <c r="C240" s="84">
        <v>4240</v>
      </c>
      <c r="D240" s="41" t="s">
        <v>121</v>
      </c>
      <c r="E240" s="79">
        <f>1000+4350+400</f>
        <v>5750</v>
      </c>
      <c r="F240" s="79"/>
      <c r="G240" s="79">
        <f t="shared" si="139"/>
        <v>5750</v>
      </c>
      <c r="H240" s="79"/>
      <c r="I240" s="79">
        <f t="shared" si="140"/>
        <v>5750</v>
      </c>
      <c r="J240" s="79"/>
      <c r="K240" s="79">
        <f t="shared" si="141"/>
        <v>5750</v>
      </c>
      <c r="L240" s="79"/>
      <c r="M240" s="79">
        <f t="shared" si="142"/>
        <v>5750</v>
      </c>
      <c r="N240" s="79"/>
      <c r="O240" s="79">
        <f t="shared" si="143"/>
        <v>5750</v>
      </c>
      <c r="P240" s="79"/>
      <c r="Q240" s="79">
        <f t="shared" si="144"/>
        <v>5750</v>
      </c>
      <c r="R240" s="79"/>
      <c r="S240" s="79">
        <f t="shared" si="145"/>
        <v>5750</v>
      </c>
    </row>
    <row r="241" spans="1:19" s="26" customFormat="1" ht="21" customHeight="1">
      <c r="A241" s="66"/>
      <c r="B241" s="80"/>
      <c r="C241" s="84">
        <v>4260</v>
      </c>
      <c r="D241" s="41" t="s">
        <v>93</v>
      </c>
      <c r="E241" s="79">
        <v>8840</v>
      </c>
      <c r="F241" s="79"/>
      <c r="G241" s="79">
        <f t="shared" si="139"/>
        <v>8840</v>
      </c>
      <c r="H241" s="79"/>
      <c r="I241" s="79">
        <f t="shared" si="140"/>
        <v>8840</v>
      </c>
      <c r="J241" s="79"/>
      <c r="K241" s="79">
        <f t="shared" si="141"/>
        <v>8840</v>
      </c>
      <c r="L241" s="79"/>
      <c r="M241" s="79">
        <f t="shared" si="142"/>
        <v>8840</v>
      </c>
      <c r="N241" s="79"/>
      <c r="O241" s="79">
        <f t="shared" si="143"/>
        <v>8840</v>
      </c>
      <c r="P241" s="79"/>
      <c r="Q241" s="79">
        <f t="shared" si="144"/>
        <v>8840</v>
      </c>
      <c r="R241" s="79"/>
      <c r="S241" s="79">
        <f t="shared" si="145"/>
        <v>8840</v>
      </c>
    </row>
    <row r="242" spans="1:19" s="26" customFormat="1" ht="21" customHeight="1">
      <c r="A242" s="66"/>
      <c r="B242" s="80"/>
      <c r="C242" s="84">
        <v>4270</v>
      </c>
      <c r="D242" s="41" t="s">
        <v>76</v>
      </c>
      <c r="E242" s="79">
        <v>6000</v>
      </c>
      <c r="F242" s="79"/>
      <c r="G242" s="79">
        <f t="shared" si="139"/>
        <v>6000</v>
      </c>
      <c r="H242" s="79"/>
      <c r="I242" s="79">
        <f t="shared" si="140"/>
        <v>6000</v>
      </c>
      <c r="J242" s="79"/>
      <c r="K242" s="79">
        <f t="shared" si="141"/>
        <v>6000</v>
      </c>
      <c r="L242" s="79"/>
      <c r="M242" s="79">
        <f t="shared" si="142"/>
        <v>6000</v>
      </c>
      <c r="N242" s="79"/>
      <c r="O242" s="79">
        <f t="shared" si="143"/>
        <v>6000</v>
      </c>
      <c r="P242" s="79"/>
      <c r="Q242" s="79">
        <f t="shared" si="144"/>
        <v>6000</v>
      </c>
      <c r="R242" s="79"/>
      <c r="S242" s="79">
        <f t="shared" si="145"/>
        <v>6000</v>
      </c>
    </row>
    <row r="243" spans="1:19" s="26" customFormat="1" ht="21" customHeight="1">
      <c r="A243" s="66"/>
      <c r="B243" s="80"/>
      <c r="C243" s="84">
        <v>4280</v>
      </c>
      <c r="D243" s="41" t="s">
        <v>198</v>
      </c>
      <c r="E243" s="79">
        <v>200</v>
      </c>
      <c r="F243" s="79"/>
      <c r="G243" s="79">
        <f t="shared" si="139"/>
        <v>200</v>
      </c>
      <c r="H243" s="79"/>
      <c r="I243" s="79">
        <f t="shared" si="140"/>
        <v>200</v>
      </c>
      <c r="J243" s="79"/>
      <c r="K243" s="79">
        <f t="shared" si="141"/>
        <v>200</v>
      </c>
      <c r="L243" s="79"/>
      <c r="M243" s="79">
        <f t="shared" si="142"/>
        <v>200</v>
      </c>
      <c r="N243" s="79"/>
      <c r="O243" s="79">
        <f t="shared" si="143"/>
        <v>200</v>
      </c>
      <c r="P243" s="79"/>
      <c r="Q243" s="79">
        <f t="shared" si="144"/>
        <v>200</v>
      </c>
      <c r="R243" s="79"/>
      <c r="S243" s="79">
        <f t="shared" si="145"/>
        <v>200</v>
      </c>
    </row>
    <row r="244" spans="1:19" s="26" customFormat="1" ht="21" customHeight="1">
      <c r="A244" s="66"/>
      <c r="B244" s="80"/>
      <c r="C244" s="84">
        <v>4300</v>
      </c>
      <c r="D244" s="41" t="s">
        <v>77</v>
      </c>
      <c r="E244" s="79">
        <v>4300</v>
      </c>
      <c r="F244" s="79"/>
      <c r="G244" s="79">
        <f t="shared" si="139"/>
        <v>4300</v>
      </c>
      <c r="H244" s="79"/>
      <c r="I244" s="79">
        <f t="shared" si="140"/>
        <v>4300</v>
      </c>
      <c r="J244" s="79"/>
      <c r="K244" s="79">
        <f t="shared" si="141"/>
        <v>4300</v>
      </c>
      <c r="L244" s="79"/>
      <c r="M244" s="79">
        <f t="shared" si="142"/>
        <v>4300</v>
      </c>
      <c r="N244" s="79"/>
      <c r="O244" s="79">
        <f t="shared" si="143"/>
        <v>4300</v>
      </c>
      <c r="P244" s="79"/>
      <c r="Q244" s="79">
        <f t="shared" si="144"/>
        <v>4300</v>
      </c>
      <c r="R244" s="79"/>
      <c r="S244" s="79">
        <f t="shared" si="145"/>
        <v>4300</v>
      </c>
    </row>
    <row r="245" spans="1:19" s="26" customFormat="1" ht="33.75">
      <c r="A245" s="66"/>
      <c r="B245" s="80"/>
      <c r="C245" s="84">
        <v>4370</v>
      </c>
      <c r="D245" s="41" t="s">
        <v>294</v>
      </c>
      <c r="E245" s="79">
        <v>2200</v>
      </c>
      <c r="F245" s="79"/>
      <c r="G245" s="79">
        <f t="shared" si="139"/>
        <v>2200</v>
      </c>
      <c r="H245" s="79"/>
      <c r="I245" s="79">
        <f t="shared" si="140"/>
        <v>2200</v>
      </c>
      <c r="J245" s="79"/>
      <c r="K245" s="79">
        <f t="shared" si="141"/>
        <v>2200</v>
      </c>
      <c r="L245" s="79"/>
      <c r="M245" s="79">
        <f t="shared" si="142"/>
        <v>2200</v>
      </c>
      <c r="N245" s="79"/>
      <c r="O245" s="79">
        <f t="shared" si="143"/>
        <v>2200</v>
      </c>
      <c r="P245" s="79"/>
      <c r="Q245" s="79">
        <f t="shared" si="144"/>
        <v>2200</v>
      </c>
      <c r="R245" s="79"/>
      <c r="S245" s="79">
        <f t="shared" si="145"/>
        <v>2200</v>
      </c>
    </row>
    <row r="246" spans="1:19" s="26" customFormat="1" ht="22.5">
      <c r="A246" s="66"/>
      <c r="B246" s="80"/>
      <c r="C246" s="84">
        <v>4390</v>
      </c>
      <c r="D246" s="41" t="s">
        <v>247</v>
      </c>
      <c r="E246" s="79">
        <v>500</v>
      </c>
      <c r="F246" s="79"/>
      <c r="G246" s="79">
        <f t="shared" si="139"/>
        <v>500</v>
      </c>
      <c r="H246" s="79"/>
      <c r="I246" s="79">
        <f t="shared" si="140"/>
        <v>500</v>
      </c>
      <c r="J246" s="79"/>
      <c r="K246" s="79">
        <f t="shared" si="141"/>
        <v>500</v>
      </c>
      <c r="L246" s="79"/>
      <c r="M246" s="79">
        <f t="shared" si="142"/>
        <v>500</v>
      </c>
      <c r="N246" s="79"/>
      <c r="O246" s="79">
        <f t="shared" si="143"/>
        <v>500</v>
      </c>
      <c r="P246" s="79"/>
      <c r="Q246" s="79">
        <f t="shared" si="144"/>
        <v>500</v>
      </c>
      <c r="R246" s="79"/>
      <c r="S246" s="79">
        <f t="shared" si="145"/>
        <v>500</v>
      </c>
    </row>
    <row r="247" spans="1:19" s="26" customFormat="1" ht="21" customHeight="1">
      <c r="A247" s="66"/>
      <c r="B247" s="80"/>
      <c r="C247" s="84">
        <v>4440</v>
      </c>
      <c r="D247" s="41" t="s">
        <v>112</v>
      </c>
      <c r="E247" s="79">
        <v>29604</v>
      </c>
      <c r="F247" s="79"/>
      <c r="G247" s="79">
        <f t="shared" si="139"/>
        <v>29604</v>
      </c>
      <c r="H247" s="79"/>
      <c r="I247" s="79">
        <f t="shared" si="140"/>
        <v>29604</v>
      </c>
      <c r="J247" s="79"/>
      <c r="K247" s="79">
        <f t="shared" si="141"/>
        <v>29604</v>
      </c>
      <c r="L247" s="79"/>
      <c r="M247" s="79">
        <f t="shared" si="142"/>
        <v>29604</v>
      </c>
      <c r="N247" s="79"/>
      <c r="O247" s="79">
        <f t="shared" si="143"/>
        <v>29604</v>
      </c>
      <c r="P247" s="79"/>
      <c r="Q247" s="79">
        <f t="shared" si="144"/>
        <v>29604</v>
      </c>
      <c r="R247" s="79"/>
      <c r="S247" s="79">
        <f t="shared" si="145"/>
        <v>29604</v>
      </c>
    </row>
    <row r="248" spans="1:19" s="26" customFormat="1" ht="21" customHeight="1">
      <c r="A248" s="86"/>
      <c r="B248" s="80" t="s">
        <v>111</v>
      </c>
      <c r="C248" s="84"/>
      <c r="D248" s="41" t="s">
        <v>122</v>
      </c>
      <c r="E248" s="79">
        <f aca="true" t="shared" si="146" ref="E248:K248">SUM(E249:E274)</f>
        <v>5395451</v>
      </c>
      <c r="F248" s="79">
        <f t="shared" si="146"/>
        <v>-65037</v>
      </c>
      <c r="G248" s="79">
        <f t="shared" si="146"/>
        <v>5330414</v>
      </c>
      <c r="H248" s="79">
        <f t="shared" si="146"/>
        <v>0</v>
      </c>
      <c r="I248" s="79">
        <f t="shared" si="146"/>
        <v>5330414</v>
      </c>
      <c r="J248" s="79">
        <f t="shared" si="146"/>
        <v>164013</v>
      </c>
      <c r="K248" s="79">
        <f t="shared" si="146"/>
        <v>5494427</v>
      </c>
      <c r="L248" s="79">
        <f aca="true" t="shared" si="147" ref="L248:Q248">SUM(L249:L274)</f>
        <v>0</v>
      </c>
      <c r="M248" s="79">
        <f t="shared" si="147"/>
        <v>5494427</v>
      </c>
      <c r="N248" s="79">
        <f t="shared" si="147"/>
        <v>0</v>
      </c>
      <c r="O248" s="79">
        <f t="shared" si="147"/>
        <v>5494427</v>
      </c>
      <c r="P248" s="79">
        <f t="shared" si="147"/>
        <v>15805</v>
      </c>
      <c r="Q248" s="79">
        <f t="shared" si="147"/>
        <v>5510232</v>
      </c>
      <c r="R248" s="79">
        <f>SUM(R249:R274)</f>
        <v>0</v>
      </c>
      <c r="S248" s="79">
        <f>SUM(S249:S274)</f>
        <v>5510232</v>
      </c>
    </row>
    <row r="249" spans="1:19" s="26" customFormat="1" ht="45">
      <c r="A249" s="86"/>
      <c r="B249" s="80"/>
      <c r="C249" s="84">
        <v>2310</v>
      </c>
      <c r="D249" s="41" t="s">
        <v>345</v>
      </c>
      <c r="E249" s="79">
        <v>0</v>
      </c>
      <c r="F249" s="79">
        <v>4963</v>
      </c>
      <c r="G249" s="79">
        <f>SUM(E249:F249)</f>
        <v>4963</v>
      </c>
      <c r="H249" s="79"/>
      <c r="I249" s="79">
        <f>SUM(G249:H249)</f>
        <v>4963</v>
      </c>
      <c r="J249" s="79"/>
      <c r="K249" s="79">
        <f>SUM(I249:J249)</f>
        <v>4963</v>
      </c>
      <c r="L249" s="79"/>
      <c r="M249" s="79">
        <f>SUM(K249:L249)</f>
        <v>4963</v>
      </c>
      <c r="N249" s="79"/>
      <c r="O249" s="79">
        <f>SUM(M249:N249)</f>
        <v>4963</v>
      </c>
      <c r="P249" s="79">
        <v>14900</v>
      </c>
      <c r="Q249" s="79">
        <f>SUM(O249:P249)</f>
        <v>19863</v>
      </c>
      <c r="R249" s="79"/>
      <c r="S249" s="79">
        <f>SUM(Q249:R249)</f>
        <v>19863</v>
      </c>
    </row>
    <row r="250" spans="1:19" s="26" customFormat="1" ht="27.75" customHeight="1">
      <c r="A250" s="86"/>
      <c r="B250" s="80"/>
      <c r="C250" s="84">
        <v>2540</v>
      </c>
      <c r="D250" s="41" t="s">
        <v>320</v>
      </c>
      <c r="E250" s="79">
        <f>37428+29943</f>
        <v>67371</v>
      </c>
      <c r="F250" s="79"/>
      <c r="G250" s="79">
        <f>SUM(E250:F250)</f>
        <v>67371</v>
      </c>
      <c r="H250" s="79"/>
      <c r="I250" s="79">
        <f>SUM(G250:H250)</f>
        <v>67371</v>
      </c>
      <c r="J250" s="79"/>
      <c r="K250" s="79">
        <f>SUM(I250:J250)</f>
        <v>67371</v>
      </c>
      <c r="L250" s="79"/>
      <c r="M250" s="79">
        <f>SUM(K250:L250)</f>
        <v>67371</v>
      </c>
      <c r="N250" s="79"/>
      <c r="O250" s="79">
        <f>SUM(M250:N250)</f>
        <v>67371</v>
      </c>
      <c r="P250" s="79"/>
      <c r="Q250" s="79">
        <f>SUM(O250:P250)</f>
        <v>67371</v>
      </c>
      <c r="R250" s="79"/>
      <c r="S250" s="79">
        <f>SUM(Q250:R250)</f>
        <v>67371</v>
      </c>
    </row>
    <row r="251" spans="1:19" s="26" customFormat="1" ht="21" customHeight="1">
      <c r="A251" s="86"/>
      <c r="B251" s="80"/>
      <c r="C251" s="84">
        <v>3020</v>
      </c>
      <c r="D251" s="41" t="s">
        <v>190</v>
      </c>
      <c r="E251" s="79">
        <v>51064</v>
      </c>
      <c r="F251" s="79"/>
      <c r="G251" s="79">
        <f aca="true" t="shared" si="148" ref="G251:G274">SUM(E251:F251)</f>
        <v>51064</v>
      </c>
      <c r="H251" s="79"/>
      <c r="I251" s="79">
        <f aca="true" t="shared" si="149" ref="I251:I274">SUM(G251:H251)</f>
        <v>51064</v>
      </c>
      <c r="J251" s="79">
        <v>618</v>
      </c>
      <c r="K251" s="79">
        <f aca="true" t="shared" si="150" ref="K251:K274">SUM(I251:J251)</f>
        <v>51682</v>
      </c>
      <c r="L251" s="79"/>
      <c r="M251" s="79">
        <f aca="true" t="shared" si="151" ref="M251:M274">SUM(K251:L251)</f>
        <v>51682</v>
      </c>
      <c r="N251" s="79"/>
      <c r="O251" s="79">
        <f aca="true" t="shared" si="152" ref="O251:O274">SUM(M251:N251)</f>
        <v>51682</v>
      </c>
      <c r="P251" s="79">
        <f>618-618</f>
        <v>0</v>
      </c>
      <c r="Q251" s="79">
        <f aca="true" t="shared" si="153" ref="Q251:Q274">SUM(O251:P251)</f>
        <v>51682</v>
      </c>
      <c r="R251" s="79">
        <f>618-618</f>
        <v>0</v>
      </c>
      <c r="S251" s="79">
        <f aca="true" t="shared" si="154" ref="S251:S274">SUM(Q251:R251)</f>
        <v>51682</v>
      </c>
    </row>
    <row r="252" spans="1:19" s="26" customFormat="1" ht="21" customHeight="1">
      <c r="A252" s="86"/>
      <c r="B252" s="80"/>
      <c r="C252" s="84">
        <v>4010</v>
      </c>
      <c r="D252" s="41" t="s">
        <v>82</v>
      </c>
      <c r="E252" s="79">
        <v>3020455</v>
      </c>
      <c r="F252" s="79"/>
      <c r="G252" s="79">
        <f t="shared" si="148"/>
        <v>3020455</v>
      </c>
      <c r="H252" s="79"/>
      <c r="I252" s="79">
        <f t="shared" si="149"/>
        <v>3020455</v>
      </c>
      <c r="J252" s="79">
        <f>54577+34808</f>
        <v>89385</v>
      </c>
      <c r="K252" s="79">
        <f t="shared" si="150"/>
        <v>3109840</v>
      </c>
      <c r="L252" s="79"/>
      <c r="M252" s="79">
        <f t="shared" si="151"/>
        <v>3109840</v>
      </c>
      <c r="N252" s="79"/>
      <c r="O252" s="79">
        <f t="shared" si="152"/>
        <v>3109840</v>
      </c>
      <c r="P252" s="79"/>
      <c r="Q252" s="79">
        <f t="shared" si="153"/>
        <v>3109840</v>
      </c>
      <c r="R252" s="79"/>
      <c r="S252" s="79">
        <f t="shared" si="154"/>
        <v>3109840</v>
      </c>
    </row>
    <row r="253" spans="1:19" s="26" customFormat="1" ht="21" customHeight="1">
      <c r="A253" s="86"/>
      <c r="B253" s="80"/>
      <c r="C253" s="84">
        <v>4040</v>
      </c>
      <c r="D253" s="41" t="s">
        <v>83</v>
      </c>
      <c r="E253" s="79">
        <v>234030</v>
      </c>
      <c r="F253" s="79"/>
      <c r="G253" s="79">
        <f t="shared" si="148"/>
        <v>234030</v>
      </c>
      <c r="H253" s="79"/>
      <c r="I253" s="79">
        <f t="shared" si="149"/>
        <v>234030</v>
      </c>
      <c r="J253" s="79"/>
      <c r="K253" s="79">
        <f t="shared" si="150"/>
        <v>234030</v>
      </c>
      <c r="L253" s="79"/>
      <c r="M253" s="79">
        <f t="shared" si="151"/>
        <v>234030</v>
      </c>
      <c r="N253" s="79"/>
      <c r="O253" s="79">
        <f t="shared" si="152"/>
        <v>234030</v>
      </c>
      <c r="P253" s="79"/>
      <c r="Q253" s="79">
        <f t="shared" si="153"/>
        <v>234030</v>
      </c>
      <c r="R253" s="79"/>
      <c r="S253" s="79">
        <f t="shared" si="154"/>
        <v>234030</v>
      </c>
    </row>
    <row r="254" spans="1:19" s="26" customFormat="1" ht="21" customHeight="1">
      <c r="A254" s="86"/>
      <c r="B254" s="80"/>
      <c r="C254" s="84">
        <v>4110</v>
      </c>
      <c r="D254" s="41" t="s">
        <v>84</v>
      </c>
      <c r="E254" s="79">
        <v>489773</v>
      </c>
      <c r="F254" s="79"/>
      <c r="G254" s="79">
        <f t="shared" si="148"/>
        <v>489773</v>
      </c>
      <c r="H254" s="79"/>
      <c r="I254" s="79">
        <f t="shared" si="149"/>
        <v>489773</v>
      </c>
      <c r="J254" s="79">
        <f>344+5287</f>
        <v>5631</v>
      </c>
      <c r="K254" s="79">
        <f t="shared" si="150"/>
        <v>495404</v>
      </c>
      <c r="L254" s="79"/>
      <c r="M254" s="79">
        <f t="shared" si="151"/>
        <v>495404</v>
      </c>
      <c r="N254" s="79"/>
      <c r="O254" s="79">
        <f t="shared" si="152"/>
        <v>495404</v>
      </c>
      <c r="P254" s="79"/>
      <c r="Q254" s="79">
        <f t="shared" si="153"/>
        <v>495404</v>
      </c>
      <c r="R254" s="79"/>
      <c r="S254" s="79">
        <f t="shared" si="154"/>
        <v>495404</v>
      </c>
    </row>
    <row r="255" spans="1:19" s="26" customFormat="1" ht="21" customHeight="1">
      <c r="A255" s="86"/>
      <c r="B255" s="80"/>
      <c r="C255" s="84">
        <v>4120</v>
      </c>
      <c r="D255" s="41" t="s">
        <v>85</v>
      </c>
      <c r="E255" s="79">
        <v>78871</v>
      </c>
      <c r="F255" s="79"/>
      <c r="G255" s="79">
        <f t="shared" si="148"/>
        <v>78871</v>
      </c>
      <c r="H255" s="79"/>
      <c r="I255" s="79">
        <f t="shared" si="149"/>
        <v>78871</v>
      </c>
      <c r="J255" s="79">
        <f>56+853</f>
        <v>909</v>
      </c>
      <c r="K255" s="79">
        <f t="shared" si="150"/>
        <v>79780</v>
      </c>
      <c r="L255" s="79"/>
      <c r="M255" s="79">
        <f t="shared" si="151"/>
        <v>79780</v>
      </c>
      <c r="N255" s="79"/>
      <c r="O255" s="79">
        <f t="shared" si="152"/>
        <v>79780</v>
      </c>
      <c r="P255" s="79"/>
      <c r="Q255" s="79">
        <f t="shared" si="153"/>
        <v>79780</v>
      </c>
      <c r="R255" s="79"/>
      <c r="S255" s="79">
        <f t="shared" si="154"/>
        <v>79780</v>
      </c>
    </row>
    <row r="256" spans="1:19" s="26" customFormat="1" ht="21" customHeight="1">
      <c r="A256" s="86"/>
      <c r="B256" s="80"/>
      <c r="C256" s="84">
        <v>4170</v>
      </c>
      <c r="D256" s="41" t="s">
        <v>193</v>
      </c>
      <c r="E256" s="79">
        <v>4730</v>
      </c>
      <c r="F256" s="79">
        <v>400</v>
      </c>
      <c r="G256" s="79">
        <f t="shared" si="148"/>
        <v>5130</v>
      </c>
      <c r="H256" s="79"/>
      <c r="I256" s="79">
        <f t="shared" si="149"/>
        <v>5130</v>
      </c>
      <c r="J256" s="79">
        <v>2880</v>
      </c>
      <c r="K256" s="79">
        <f t="shared" si="150"/>
        <v>8010</v>
      </c>
      <c r="L256" s="79"/>
      <c r="M256" s="79">
        <f t="shared" si="151"/>
        <v>8010</v>
      </c>
      <c r="N256" s="79"/>
      <c r="O256" s="79">
        <f t="shared" si="152"/>
        <v>8010</v>
      </c>
      <c r="P256" s="79"/>
      <c r="Q256" s="79">
        <f t="shared" si="153"/>
        <v>8010</v>
      </c>
      <c r="R256" s="79"/>
      <c r="S256" s="79">
        <f t="shared" si="154"/>
        <v>8010</v>
      </c>
    </row>
    <row r="257" spans="1:19" s="26" customFormat="1" ht="21" customHeight="1">
      <c r="A257" s="86"/>
      <c r="B257" s="80"/>
      <c r="C257" s="84">
        <v>4210</v>
      </c>
      <c r="D257" s="41" t="s">
        <v>70</v>
      </c>
      <c r="E257" s="79">
        <f>181510+300</f>
        <v>181810</v>
      </c>
      <c r="F257" s="79"/>
      <c r="G257" s="79">
        <f t="shared" si="148"/>
        <v>181810</v>
      </c>
      <c r="H257" s="79"/>
      <c r="I257" s="79">
        <f t="shared" si="149"/>
        <v>181810</v>
      </c>
      <c r="J257" s="79">
        <v>2690</v>
      </c>
      <c r="K257" s="79">
        <f t="shared" si="150"/>
        <v>184500</v>
      </c>
      <c r="L257" s="79"/>
      <c r="M257" s="79">
        <f t="shared" si="151"/>
        <v>184500</v>
      </c>
      <c r="N257" s="79"/>
      <c r="O257" s="79">
        <f t="shared" si="152"/>
        <v>184500</v>
      </c>
      <c r="P257" s="79">
        <f>3595-2690</f>
        <v>905</v>
      </c>
      <c r="Q257" s="79">
        <f t="shared" si="153"/>
        <v>185405</v>
      </c>
      <c r="R257" s="79"/>
      <c r="S257" s="79">
        <f t="shared" si="154"/>
        <v>185405</v>
      </c>
    </row>
    <row r="258" spans="1:19" s="26" customFormat="1" ht="21" customHeight="1">
      <c r="A258" s="86"/>
      <c r="B258" s="80"/>
      <c r="C258" s="84">
        <v>4220</v>
      </c>
      <c r="D258" s="14" t="s">
        <v>178</v>
      </c>
      <c r="E258" s="79">
        <v>371984</v>
      </c>
      <c r="F258" s="79"/>
      <c r="G258" s="79">
        <f t="shared" si="148"/>
        <v>371984</v>
      </c>
      <c r="H258" s="79"/>
      <c r="I258" s="79">
        <f t="shared" si="149"/>
        <v>371984</v>
      </c>
      <c r="J258" s="79">
        <v>34000</v>
      </c>
      <c r="K258" s="79">
        <f t="shared" si="150"/>
        <v>405984</v>
      </c>
      <c r="L258" s="79"/>
      <c r="M258" s="79">
        <f t="shared" si="151"/>
        <v>405984</v>
      </c>
      <c r="N258" s="79"/>
      <c r="O258" s="79">
        <f t="shared" si="152"/>
        <v>405984</v>
      </c>
      <c r="P258" s="79"/>
      <c r="Q258" s="79">
        <f t="shared" si="153"/>
        <v>405984</v>
      </c>
      <c r="R258" s="79"/>
      <c r="S258" s="79">
        <f t="shared" si="154"/>
        <v>405984</v>
      </c>
    </row>
    <row r="259" spans="1:19" s="26" customFormat="1" ht="22.5">
      <c r="A259" s="86"/>
      <c r="B259" s="80"/>
      <c r="C259" s="84">
        <v>4240</v>
      </c>
      <c r="D259" s="41" t="s">
        <v>121</v>
      </c>
      <c r="E259" s="79">
        <v>37612</v>
      </c>
      <c r="F259" s="79"/>
      <c r="G259" s="79">
        <f t="shared" si="148"/>
        <v>37612</v>
      </c>
      <c r="H259" s="79"/>
      <c r="I259" s="79">
        <f t="shared" si="149"/>
        <v>37612</v>
      </c>
      <c r="J259" s="79">
        <v>500</v>
      </c>
      <c r="K259" s="79">
        <f t="shared" si="150"/>
        <v>38112</v>
      </c>
      <c r="L259" s="79"/>
      <c r="M259" s="79">
        <f t="shared" si="151"/>
        <v>38112</v>
      </c>
      <c r="N259" s="79"/>
      <c r="O259" s="79">
        <f t="shared" si="152"/>
        <v>38112</v>
      </c>
      <c r="P259" s="79"/>
      <c r="Q259" s="79">
        <f t="shared" si="153"/>
        <v>38112</v>
      </c>
      <c r="R259" s="79"/>
      <c r="S259" s="79">
        <f t="shared" si="154"/>
        <v>38112</v>
      </c>
    </row>
    <row r="260" spans="1:19" s="26" customFormat="1" ht="21" customHeight="1">
      <c r="A260" s="86"/>
      <c r="B260" s="80"/>
      <c r="C260" s="84">
        <v>4260</v>
      </c>
      <c r="D260" s="41" t="s">
        <v>93</v>
      </c>
      <c r="E260" s="79">
        <v>254750</v>
      </c>
      <c r="F260" s="79"/>
      <c r="G260" s="79">
        <f t="shared" si="148"/>
        <v>254750</v>
      </c>
      <c r="H260" s="79"/>
      <c r="I260" s="79">
        <f t="shared" si="149"/>
        <v>254750</v>
      </c>
      <c r="J260" s="79">
        <v>26900</v>
      </c>
      <c r="K260" s="79">
        <f t="shared" si="150"/>
        <v>281650</v>
      </c>
      <c r="L260" s="79"/>
      <c r="M260" s="79">
        <f t="shared" si="151"/>
        <v>281650</v>
      </c>
      <c r="N260" s="79"/>
      <c r="O260" s="79">
        <f t="shared" si="152"/>
        <v>281650</v>
      </c>
      <c r="P260" s="79"/>
      <c r="Q260" s="79">
        <f t="shared" si="153"/>
        <v>281650</v>
      </c>
      <c r="R260" s="79"/>
      <c r="S260" s="79">
        <f t="shared" si="154"/>
        <v>281650</v>
      </c>
    </row>
    <row r="261" spans="1:19" s="26" customFormat="1" ht="21" customHeight="1">
      <c r="A261" s="86"/>
      <c r="B261" s="80"/>
      <c r="C261" s="84">
        <v>4270</v>
      </c>
      <c r="D261" s="41" t="s">
        <v>76</v>
      </c>
      <c r="E261" s="79">
        <f>35450+150000-20000</f>
        <v>165450</v>
      </c>
      <c r="F261" s="79">
        <v>-400</v>
      </c>
      <c r="G261" s="79">
        <f t="shared" si="148"/>
        <v>165050</v>
      </c>
      <c r="H261" s="79"/>
      <c r="I261" s="79">
        <f t="shared" si="149"/>
        <v>165050</v>
      </c>
      <c r="J261" s="79"/>
      <c r="K261" s="79">
        <f t="shared" si="150"/>
        <v>165050</v>
      </c>
      <c r="L261" s="79"/>
      <c r="M261" s="79">
        <f t="shared" si="151"/>
        <v>165050</v>
      </c>
      <c r="N261" s="79"/>
      <c r="O261" s="79">
        <f t="shared" si="152"/>
        <v>165050</v>
      </c>
      <c r="P261" s="79"/>
      <c r="Q261" s="79">
        <f t="shared" si="153"/>
        <v>165050</v>
      </c>
      <c r="R261" s="79"/>
      <c r="S261" s="79">
        <f t="shared" si="154"/>
        <v>165050</v>
      </c>
    </row>
    <row r="262" spans="1:19" s="26" customFormat="1" ht="21" customHeight="1">
      <c r="A262" s="86"/>
      <c r="B262" s="80"/>
      <c r="C262" s="84">
        <v>4280</v>
      </c>
      <c r="D262" s="41" t="s">
        <v>198</v>
      </c>
      <c r="E262" s="79">
        <v>10900</v>
      </c>
      <c r="F262" s="79"/>
      <c r="G262" s="79">
        <f t="shared" si="148"/>
        <v>10900</v>
      </c>
      <c r="H262" s="79"/>
      <c r="I262" s="79">
        <f t="shared" si="149"/>
        <v>10900</v>
      </c>
      <c r="J262" s="79"/>
      <c r="K262" s="79">
        <f t="shared" si="150"/>
        <v>10900</v>
      </c>
      <c r="L262" s="79"/>
      <c r="M262" s="79">
        <f t="shared" si="151"/>
        <v>10900</v>
      </c>
      <c r="N262" s="79"/>
      <c r="O262" s="79">
        <f t="shared" si="152"/>
        <v>10900</v>
      </c>
      <c r="P262" s="79"/>
      <c r="Q262" s="79">
        <f t="shared" si="153"/>
        <v>10900</v>
      </c>
      <c r="R262" s="79"/>
      <c r="S262" s="79">
        <f t="shared" si="154"/>
        <v>10900</v>
      </c>
    </row>
    <row r="263" spans="1:19" s="26" customFormat="1" ht="21" customHeight="1">
      <c r="A263" s="86"/>
      <c r="B263" s="80"/>
      <c r="C263" s="84">
        <v>4300</v>
      </c>
      <c r="D263" s="41" t="s">
        <v>77</v>
      </c>
      <c r="E263" s="79">
        <v>93607</v>
      </c>
      <c r="F263" s="79"/>
      <c r="G263" s="79">
        <f t="shared" si="148"/>
        <v>93607</v>
      </c>
      <c r="H263" s="79"/>
      <c r="I263" s="79">
        <f t="shared" si="149"/>
        <v>93607</v>
      </c>
      <c r="J263" s="79">
        <v>9760</v>
      </c>
      <c r="K263" s="79">
        <f t="shared" si="150"/>
        <v>103367</v>
      </c>
      <c r="L263" s="79"/>
      <c r="M263" s="79">
        <f t="shared" si="151"/>
        <v>103367</v>
      </c>
      <c r="N263" s="79"/>
      <c r="O263" s="79">
        <f t="shared" si="152"/>
        <v>103367</v>
      </c>
      <c r="P263" s="79"/>
      <c r="Q263" s="79">
        <f t="shared" si="153"/>
        <v>103367</v>
      </c>
      <c r="R263" s="79"/>
      <c r="S263" s="79">
        <f t="shared" si="154"/>
        <v>103367</v>
      </c>
    </row>
    <row r="264" spans="1:19" s="26" customFormat="1" ht="21" customHeight="1">
      <c r="A264" s="86"/>
      <c r="B264" s="80"/>
      <c r="C264" s="84">
        <v>4350</v>
      </c>
      <c r="D264" s="41" t="s">
        <v>204</v>
      </c>
      <c r="E264" s="79">
        <v>4116</v>
      </c>
      <c r="F264" s="79"/>
      <c r="G264" s="79">
        <f t="shared" si="148"/>
        <v>4116</v>
      </c>
      <c r="H264" s="79"/>
      <c r="I264" s="79">
        <f t="shared" si="149"/>
        <v>4116</v>
      </c>
      <c r="J264" s="79"/>
      <c r="K264" s="79">
        <f t="shared" si="150"/>
        <v>4116</v>
      </c>
      <c r="L264" s="79"/>
      <c r="M264" s="79">
        <f t="shared" si="151"/>
        <v>4116</v>
      </c>
      <c r="N264" s="79"/>
      <c r="O264" s="79">
        <f t="shared" si="152"/>
        <v>4116</v>
      </c>
      <c r="P264" s="79"/>
      <c r="Q264" s="79">
        <f t="shared" si="153"/>
        <v>4116</v>
      </c>
      <c r="R264" s="79"/>
      <c r="S264" s="79">
        <f t="shared" si="154"/>
        <v>4116</v>
      </c>
    </row>
    <row r="265" spans="1:19" s="26" customFormat="1" ht="33.75">
      <c r="A265" s="86"/>
      <c r="B265" s="80"/>
      <c r="C265" s="84">
        <v>4360</v>
      </c>
      <c r="D265" s="41" t="s">
        <v>295</v>
      </c>
      <c r="E265" s="79">
        <v>3670</v>
      </c>
      <c r="F265" s="79"/>
      <c r="G265" s="79">
        <f t="shared" si="148"/>
        <v>3670</v>
      </c>
      <c r="H265" s="79"/>
      <c r="I265" s="79">
        <f t="shared" si="149"/>
        <v>3670</v>
      </c>
      <c r="J265" s="79">
        <v>-3670</v>
      </c>
      <c r="K265" s="79">
        <f t="shared" si="150"/>
        <v>0</v>
      </c>
      <c r="L265" s="79"/>
      <c r="M265" s="79">
        <f t="shared" si="151"/>
        <v>0</v>
      </c>
      <c r="N265" s="79"/>
      <c r="O265" s="79">
        <f t="shared" si="152"/>
        <v>0</v>
      </c>
      <c r="P265" s="79"/>
      <c r="Q265" s="79">
        <f t="shared" si="153"/>
        <v>0</v>
      </c>
      <c r="R265" s="79"/>
      <c r="S265" s="79">
        <f t="shared" si="154"/>
        <v>0</v>
      </c>
    </row>
    <row r="266" spans="1:19" s="26" customFormat="1" ht="41.25" customHeight="1">
      <c r="A266" s="86"/>
      <c r="B266" s="80"/>
      <c r="C266" s="84">
        <v>4370</v>
      </c>
      <c r="D266" s="41" t="s">
        <v>294</v>
      </c>
      <c r="E266" s="79">
        <v>9800</v>
      </c>
      <c r="F266" s="79"/>
      <c r="G266" s="79">
        <f t="shared" si="148"/>
        <v>9800</v>
      </c>
      <c r="H266" s="79"/>
      <c r="I266" s="79">
        <f t="shared" si="149"/>
        <v>9800</v>
      </c>
      <c r="J266" s="79">
        <v>3670</v>
      </c>
      <c r="K266" s="79">
        <f t="shared" si="150"/>
        <v>13470</v>
      </c>
      <c r="L266" s="79"/>
      <c r="M266" s="79">
        <f t="shared" si="151"/>
        <v>13470</v>
      </c>
      <c r="N266" s="79"/>
      <c r="O266" s="79">
        <f t="shared" si="152"/>
        <v>13470</v>
      </c>
      <c r="P266" s="79"/>
      <c r="Q266" s="79">
        <f t="shared" si="153"/>
        <v>13470</v>
      </c>
      <c r="R266" s="79"/>
      <c r="S266" s="79">
        <f t="shared" si="154"/>
        <v>13470</v>
      </c>
    </row>
    <row r="267" spans="1:19" s="26" customFormat="1" ht="21" customHeight="1">
      <c r="A267" s="86"/>
      <c r="B267" s="80"/>
      <c r="C267" s="84">
        <v>4390</v>
      </c>
      <c r="D267" s="41" t="s">
        <v>242</v>
      </c>
      <c r="E267" s="79">
        <v>3400</v>
      </c>
      <c r="F267" s="79"/>
      <c r="G267" s="79">
        <f t="shared" si="148"/>
        <v>3400</v>
      </c>
      <c r="H267" s="79"/>
      <c r="I267" s="79">
        <f t="shared" si="149"/>
        <v>3400</v>
      </c>
      <c r="J267" s="79"/>
      <c r="K267" s="79">
        <f t="shared" si="150"/>
        <v>3400</v>
      </c>
      <c r="L267" s="79"/>
      <c r="M267" s="79">
        <f t="shared" si="151"/>
        <v>3400</v>
      </c>
      <c r="N267" s="79"/>
      <c r="O267" s="79">
        <f t="shared" si="152"/>
        <v>3400</v>
      </c>
      <c r="P267" s="79"/>
      <c r="Q267" s="79">
        <f t="shared" si="153"/>
        <v>3400</v>
      </c>
      <c r="R267" s="79"/>
      <c r="S267" s="79">
        <f t="shared" si="154"/>
        <v>3400</v>
      </c>
    </row>
    <row r="268" spans="1:19" s="26" customFormat="1" ht="21" customHeight="1">
      <c r="A268" s="86"/>
      <c r="B268" s="80"/>
      <c r="C268" s="84">
        <v>4410</v>
      </c>
      <c r="D268" s="41" t="s">
        <v>88</v>
      </c>
      <c r="E268" s="79">
        <v>3750</v>
      </c>
      <c r="F268" s="79"/>
      <c r="G268" s="79">
        <f t="shared" si="148"/>
        <v>3750</v>
      </c>
      <c r="H268" s="79"/>
      <c r="I268" s="79">
        <f t="shared" si="149"/>
        <v>3750</v>
      </c>
      <c r="J268" s="79"/>
      <c r="K268" s="79">
        <f t="shared" si="150"/>
        <v>3750</v>
      </c>
      <c r="L268" s="79"/>
      <c r="M268" s="79">
        <f t="shared" si="151"/>
        <v>3750</v>
      </c>
      <c r="N268" s="79"/>
      <c r="O268" s="79">
        <f t="shared" si="152"/>
        <v>3750</v>
      </c>
      <c r="P268" s="79"/>
      <c r="Q268" s="79">
        <f t="shared" si="153"/>
        <v>3750</v>
      </c>
      <c r="R268" s="79"/>
      <c r="S268" s="79">
        <f t="shared" si="154"/>
        <v>3750</v>
      </c>
    </row>
    <row r="269" spans="1:19" s="26" customFormat="1" ht="21" customHeight="1">
      <c r="A269" s="86"/>
      <c r="B269" s="80"/>
      <c r="C269" s="84">
        <v>4430</v>
      </c>
      <c r="D269" s="41" t="s">
        <v>92</v>
      </c>
      <c r="E269" s="79">
        <v>13010</v>
      </c>
      <c r="F269" s="79"/>
      <c r="G269" s="79">
        <f t="shared" si="148"/>
        <v>13010</v>
      </c>
      <c r="H269" s="79"/>
      <c r="I269" s="79">
        <f t="shared" si="149"/>
        <v>13010</v>
      </c>
      <c r="J269" s="79">
        <f>700-10010</f>
        <v>-9310</v>
      </c>
      <c r="K269" s="79">
        <f t="shared" si="150"/>
        <v>3700</v>
      </c>
      <c r="L269" s="79"/>
      <c r="M269" s="79">
        <f t="shared" si="151"/>
        <v>3700</v>
      </c>
      <c r="N269" s="79"/>
      <c r="O269" s="79">
        <f t="shared" si="152"/>
        <v>3700</v>
      </c>
      <c r="P269" s="79"/>
      <c r="Q269" s="79">
        <f t="shared" si="153"/>
        <v>3700</v>
      </c>
      <c r="R269" s="79"/>
      <c r="S269" s="79">
        <f t="shared" si="154"/>
        <v>3700</v>
      </c>
    </row>
    <row r="270" spans="1:19" s="26" customFormat="1" ht="21" customHeight="1">
      <c r="A270" s="86"/>
      <c r="B270" s="80"/>
      <c r="C270" s="84">
        <v>4440</v>
      </c>
      <c r="D270" s="41" t="s">
        <v>112</v>
      </c>
      <c r="E270" s="79">
        <v>200298</v>
      </c>
      <c r="F270" s="79"/>
      <c r="G270" s="79">
        <f t="shared" si="148"/>
        <v>200298</v>
      </c>
      <c r="H270" s="79"/>
      <c r="I270" s="79">
        <f t="shared" si="149"/>
        <v>200298</v>
      </c>
      <c r="J270" s="79"/>
      <c r="K270" s="79">
        <f t="shared" si="150"/>
        <v>200298</v>
      </c>
      <c r="L270" s="79"/>
      <c r="M270" s="79">
        <f t="shared" si="151"/>
        <v>200298</v>
      </c>
      <c r="N270" s="79"/>
      <c r="O270" s="79">
        <f t="shared" si="152"/>
        <v>200298</v>
      </c>
      <c r="P270" s="79"/>
      <c r="Q270" s="79">
        <f t="shared" si="153"/>
        <v>200298</v>
      </c>
      <c r="R270" s="79"/>
      <c r="S270" s="79">
        <f t="shared" si="154"/>
        <v>200298</v>
      </c>
    </row>
    <row r="271" spans="1:19" s="26" customFormat="1" ht="21" customHeight="1">
      <c r="A271" s="86"/>
      <c r="B271" s="80"/>
      <c r="C271" s="84">
        <v>4510</v>
      </c>
      <c r="D271" s="41" t="s">
        <v>143</v>
      </c>
      <c r="E271" s="79"/>
      <c r="F271" s="79"/>
      <c r="G271" s="79"/>
      <c r="H271" s="79"/>
      <c r="I271" s="79">
        <v>0</v>
      </c>
      <c r="J271" s="79">
        <v>50</v>
      </c>
      <c r="K271" s="79">
        <f t="shared" si="150"/>
        <v>50</v>
      </c>
      <c r="L271" s="79"/>
      <c r="M271" s="79">
        <f t="shared" si="151"/>
        <v>50</v>
      </c>
      <c r="N271" s="79"/>
      <c r="O271" s="79">
        <f t="shared" si="152"/>
        <v>50</v>
      </c>
      <c r="P271" s="79"/>
      <c r="Q271" s="79">
        <f t="shared" si="153"/>
        <v>50</v>
      </c>
      <c r="R271" s="79"/>
      <c r="S271" s="79">
        <f t="shared" si="154"/>
        <v>50</v>
      </c>
    </row>
    <row r="272" spans="1:19" s="26" customFormat="1" ht="22.5">
      <c r="A272" s="86"/>
      <c r="B272" s="80"/>
      <c r="C272" s="84">
        <v>4700</v>
      </c>
      <c r="D272" s="41" t="s">
        <v>239</v>
      </c>
      <c r="E272" s="79">
        <v>1500</v>
      </c>
      <c r="F272" s="79"/>
      <c r="G272" s="79">
        <f t="shared" si="148"/>
        <v>1500</v>
      </c>
      <c r="H272" s="79"/>
      <c r="I272" s="79">
        <f t="shared" si="149"/>
        <v>1500</v>
      </c>
      <c r="J272" s="79"/>
      <c r="K272" s="79">
        <f t="shared" si="150"/>
        <v>1500</v>
      </c>
      <c r="L272" s="79"/>
      <c r="M272" s="79">
        <f t="shared" si="151"/>
        <v>1500</v>
      </c>
      <c r="N272" s="79"/>
      <c r="O272" s="79">
        <f t="shared" si="152"/>
        <v>1500</v>
      </c>
      <c r="P272" s="79"/>
      <c r="Q272" s="79">
        <f t="shared" si="153"/>
        <v>1500</v>
      </c>
      <c r="R272" s="79"/>
      <c r="S272" s="79">
        <f t="shared" si="154"/>
        <v>1500</v>
      </c>
    </row>
    <row r="273" spans="1:19" s="26" customFormat="1" ht="24" customHeight="1">
      <c r="A273" s="86"/>
      <c r="B273" s="80"/>
      <c r="C273" s="84">
        <v>6050</v>
      </c>
      <c r="D273" s="14" t="s">
        <v>71</v>
      </c>
      <c r="E273" s="79">
        <v>70000</v>
      </c>
      <c r="F273" s="79">
        <v>-70000</v>
      </c>
      <c r="G273" s="79">
        <f t="shared" si="148"/>
        <v>0</v>
      </c>
      <c r="H273" s="79"/>
      <c r="I273" s="79">
        <f t="shared" si="149"/>
        <v>0</v>
      </c>
      <c r="J273" s="79"/>
      <c r="K273" s="79">
        <f t="shared" si="150"/>
        <v>0</v>
      </c>
      <c r="L273" s="79"/>
      <c r="M273" s="79">
        <f t="shared" si="151"/>
        <v>0</v>
      </c>
      <c r="N273" s="79"/>
      <c r="O273" s="79">
        <f t="shared" si="152"/>
        <v>0</v>
      </c>
      <c r="P273" s="79"/>
      <c r="Q273" s="79">
        <f t="shared" si="153"/>
        <v>0</v>
      </c>
      <c r="R273" s="79"/>
      <c r="S273" s="79">
        <f t="shared" si="154"/>
        <v>0</v>
      </c>
    </row>
    <row r="274" spans="1:19" s="26" customFormat="1" ht="21" customHeight="1">
      <c r="A274" s="86"/>
      <c r="B274" s="80"/>
      <c r="C274" s="84">
        <v>6060</v>
      </c>
      <c r="D274" s="14" t="s">
        <v>94</v>
      </c>
      <c r="E274" s="79">
        <v>23500</v>
      </c>
      <c r="F274" s="79"/>
      <c r="G274" s="79">
        <f t="shared" si="148"/>
        <v>23500</v>
      </c>
      <c r="H274" s="79"/>
      <c r="I274" s="79">
        <f t="shared" si="149"/>
        <v>23500</v>
      </c>
      <c r="J274" s="79"/>
      <c r="K274" s="79">
        <f t="shared" si="150"/>
        <v>23500</v>
      </c>
      <c r="L274" s="79"/>
      <c r="M274" s="79">
        <f t="shared" si="151"/>
        <v>23500</v>
      </c>
      <c r="N274" s="79"/>
      <c r="O274" s="79">
        <f t="shared" si="152"/>
        <v>23500</v>
      </c>
      <c r="P274" s="79"/>
      <c r="Q274" s="79">
        <f t="shared" si="153"/>
        <v>23500</v>
      </c>
      <c r="R274" s="79"/>
      <c r="S274" s="79">
        <f t="shared" si="154"/>
        <v>23500</v>
      </c>
    </row>
    <row r="275" spans="1:19" s="26" customFormat="1" ht="21" customHeight="1">
      <c r="A275" s="86"/>
      <c r="B275" s="80" t="s">
        <v>113</v>
      </c>
      <c r="C275" s="84"/>
      <c r="D275" s="41" t="s">
        <v>52</v>
      </c>
      <c r="E275" s="79">
        <f aca="true" t="shared" si="155" ref="E275:K275">SUM(E276:E297)</f>
        <v>9922542</v>
      </c>
      <c r="F275" s="79">
        <f t="shared" si="155"/>
        <v>-699400</v>
      </c>
      <c r="G275" s="79">
        <f t="shared" si="155"/>
        <v>9223142</v>
      </c>
      <c r="H275" s="79">
        <f t="shared" si="155"/>
        <v>0</v>
      </c>
      <c r="I275" s="79">
        <f t="shared" si="155"/>
        <v>9223142</v>
      </c>
      <c r="J275" s="79">
        <f t="shared" si="155"/>
        <v>107836</v>
      </c>
      <c r="K275" s="79">
        <f t="shared" si="155"/>
        <v>9330978</v>
      </c>
      <c r="L275" s="79">
        <f aca="true" t="shared" si="156" ref="L275:Q275">SUM(L276:L297)</f>
        <v>0</v>
      </c>
      <c r="M275" s="79">
        <f t="shared" si="156"/>
        <v>9330978</v>
      </c>
      <c r="N275" s="79">
        <f t="shared" si="156"/>
        <v>0</v>
      </c>
      <c r="O275" s="79">
        <f t="shared" si="156"/>
        <v>9330978</v>
      </c>
      <c r="P275" s="79">
        <f t="shared" si="156"/>
        <v>0</v>
      </c>
      <c r="Q275" s="79">
        <f t="shared" si="156"/>
        <v>9330978</v>
      </c>
      <c r="R275" s="79">
        <f>SUM(R276:R297)</f>
        <v>0</v>
      </c>
      <c r="S275" s="79">
        <f>SUM(S276:S297)</f>
        <v>9330978</v>
      </c>
    </row>
    <row r="276" spans="1:19" s="26" customFormat="1" ht="53.25" customHeight="1">
      <c r="A276" s="86"/>
      <c r="B276" s="80"/>
      <c r="C276" s="84">
        <v>2590</v>
      </c>
      <c r="D276" s="41" t="s">
        <v>246</v>
      </c>
      <c r="E276" s="79">
        <v>393700</v>
      </c>
      <c r="F276" s="79"/>
      <c r="G276" s="79">
        <f>SUM(E276:F276)</f>
        <v>393700</v>
      </c>
      <c r="H276" s="79"/>
      <c r="I276" s="79">
        <f>SUM(G276:H276)</f>
        <v>393700</v>
      </c>
      <c r="J276" s="79"/>
      <c r="K276" s="79">
        <f>SUM(I276:J276)</f>
        <v>393700</v>
      </c>
      <c r="L276" s="79"/>
      <c r="M276" s="79">
        <f>SUM(K276:L276)</f>
        <v>393700</v>
      </c>
      <c r="N276" s="79"/>
      <c r="O276" s="79">
        <f>SUM(M276:N276)</f>
        <v>393700</v>
      </c>
      <c r="P276" s="79"/>
      <c r="Q276" s="79">
        <f>SUM(O276:P276)</f>
        <v>393700</v>
      </c>
      <c r="R276" s="79"/>
      <c r="S276" s="79">
        <f>SUM(Q276:R276)</f>
        <v>393700</v>
      </c>
    </row>
    <row r="277" spans="1:19" s="26" customFormat="1" ht="21" customHeight="1">
      <c r="A277" s="66"/>
      <c r="B277" s="80"/>
      <c r="C277" s="84">
        <v>3020</v>
      </c>
      <c r="D277" s="41" t="s">
        <v>190</v>
      </c>
      <c r="E277" s="79">
        <v>59220</v>
      </c>
      <c r="F277" s="79"/>
      <c r="G277" s="79">
        <f aca="true" t="shared" si="157" ref="G277:G297">SUM(E277:F277)</f>
        <v>59220</v>
      </c>
      <c r="H277" s="79"/>
      <c r="I277" s="79">
        <f aca="true" t="shared" si="158" ref="I277:I297">SUM(G277:H277)</f>
        <v>59220</v>
      </c>
      <c r="J277" s="79">
        <v>780</v>
      </c>
      <c r="K277" s="79">
        <f aca="true" t="shared" si="159" ref="K277:K297">SUM(I277:J277)</f>
        <v>60000</v>
      </c>
      <c r="L277" s="79"/>
      <c r="M277" s="79">
        <f aca="true" t="shared" si="160" ref="M277:M297">SUM(K277:L277)</f>
        <v>60000</v>
      </c>
      <c r="N277" s="79"/>
      <c r="O277" s="79">
        <f aca="true" t="shared" si="161" ref="O277:O297">SUM(M277:N277)</f>
        <v>60000</v>
      </c>
      <c r="P277" s="79"/>
      <c r="Q277" s="79">
        <f aca="true" t="shared" si="162" ref="Q277:Q297">SUM(O277:P277)</f>
        <v>60000</v>
      </c>
      <c r="R277" s="79"/>
      <c r="S277" s="79">
        <f aca="true" t="shared" si="163" ref="S277:S297">SUM(Q277:R277)</f>
        <v>60000</v>
      </c>
    </row>
    <row r="278" spans="1:19" s="26" customFormat="1" ht="21" customHeight="1">
      <c r="A278" s="66"/>
      <c r="B278" s="80"/>
      <c r="C278" s="84">
        <v>4010</v>
      </c>
      <c r="D278" s="41" t="s">
        <v>82</v>
      </c>
      <c r="E278" s="79">
        <v>4024990</v>
      </c>
      <c r="F278" s="79"/>
      <c r="G278" s="79">
        <f t="shared" si="157"/>
        <v>4024990</v>
      </c>
      <c r="H278" s="79"/>
      <c r="I278" s="79">
        <f t="shared" si="158"/>
        <v>4024990</v>
      </c>
      <c r="J278" s="79">
        <f>16193+90782</f>
        <v>106975</v>
      </c>
      <c r="K278" s="79">
        <f t="shared" si="159"/>
        <v>4131965</v>
      </c>
      <c r="L278" s="79"/>
      <c r="M278" s="79">
        <f t="shared" si="160"/>
        <v>4131965</v>
      </c>
      <c r="N278" s="79"/>
      <c r="O278" s="79">
        <f t="shared" si="161"/>
        <v>4131965</v>
      </c>
      <c r="P278" s="79"/>
      <c r="Q278" s="79">
        <f t="shared" si="162"/>
        <v>4131965</v>
      </c>
      <c r="R278" s="79"/>
      <c r="S278" s="79">
        <f t="shared" si="163"/>
        <v>4131965</v>
      </c>
    </row>
    <row r="279" spans="1:19" s="26" customFormat="1" ht="21" customHeight="1">
      <c r="A279" s="66"/>
      <c r="B279" s="80"/>
      <c r="C279" s="84">
        <v>4040</v>
      </c>
      <c r="D279" s="41" t="s">
        <v>83</v>
      </c>
      <c r="E279" s="79">
        <v>324849</v>
      </c>
      <c r="F279" s="79"/>
      <c r="G279" s="79">
        <f t="shared" si="157"/>
        <v>324849</v>
      </c>
      <c r="H279" s="79"/>
      <c r="I279" s="79">
        <f t="shared" si="158"/>
        <v>324849</v>
      </c>
      <c r="J279" s="79">
        <v>-16193</v>
      </c>
      <c r="K279" s="79">
        <f t="shared" si="159"/>
        <v>308656</v>
      </c>
      <c r="L279" s="79"/>
      <c r="M279" s="79">
        <f t="shared" si="160"/>
        <v>308656</v>
      </c>
      <c r="N279" s="79"/>
      <c r="O279" s="79">
        <f t="shared" si="161"/>
        <v>308656</v>
      </c>
      <c r="P279" s="79"/>
      <c r="Q279" s="79">
        <f t="shared" si="162"/>
        <v>308656</v>
      </c>
      <c r="R279" s="79"/>
      <c r="S279" s="79">
        <f t="shared" si="163"/>
        <v>308656</v>
      </c>
    </row>
    <row r="280" spans="1:19" s="26" customFormat="1" ht="21" customHeight="1">
      <c r="A280" s="66"/>
      <c r="B280" s="80"/>
      <c r="C280" s="84">
        <v>4110</v>
      </c>
      <c r="D280" s="41" t="s">
        <v>84</v>
      </c>
      <c r="E280" s="79">
        <v>678598</v>
      </c>
      <c r="F280" s="79"/>
      <c r="G280" s="79">
        <f t="shared" si="157"/>
        <v>678598</v>
      </c>
      <c r="H280" s="79"/>
      <c r="I280" s="79">
        <f t="shared" si="158"/>
        <v>678598</v>
      </c>
      <c r="J280" s="79">
        <v>14029</v>
      </c>
      <c r="K280" s="79">
        <f t="shared" si="159"/>
        <v>692627</v>
      </c>
      <c r="L280" s="79"/>
      <c r="M280" s="79">
        <f t="shared" si="160"/>
        <v>692627</v>
      </c>
      <c r="N280" s="79"/>
      <c r="O280" s="79">
        <f t="shared" si="161"/>
        <v>692627</v>
      </c>
      <c r="P280" s="79"/>
      <c r="Q280" s="79">
        <f t="shared" si="162"/>
        <v>692627</v>
      </c>
      <c r="R280" s="79"/>
      <c r="S280" s="79">
        <f t="shared" si="163"/>
        <v>692627</v>
      </c>
    </row>
    <row r="281" spans="1:19" s="26" customFormat="1" ht="21" customHeight="1">
      <c r="A281" s="66"/>
      <c r="B281" s="80"/>
      <c r="C281" s="84">
        <v>4120</v>
      </c>
      <c r="D281" s="41" t="s">
        <v>85</v>
      </c>
      <c r="E281" s="79">
        <v>108606</v>
      </c>
      <c r="F281" s="79"/>
      <c r="G281" s="79">
        <f t="shared" si="157"/>
        <v>108606</v>
      </c>
      <c r="H281" s="79"/>
      <c r="I281" s="79">
        <f t="shared" si="158"/>
        <v>108606</v>
      </c>
      <c r="J281" s="79">
        <v>2245</v>
      </c>
      <c r="K281" s="79">
        <f t="shared" si="159"/>
        <v>110851</v>
      </c>
      <c r="L281" s="79"/>
      <c r="M281" s="79">
        <f t="shared" si="160"/>
        <v>110851</v>
      </c>
      <c r="N281" s="79"/>
      <c r="O281" s="79">
        <f t="shared" si="161"/>
        <v>110851</v>
      </c>
      <c r="P281" s="79"/>
      <c r="Q281" s="79">
        <f t="shared" si="162"/>
        <v>110851</v>
      </c>
      <c r="R281" s="79"/>
      <c r="S281" s="79">
        <f t="shared" si="163"/>
        <v>110851</v>
      </c>
    </row>
    <row r="282" spans="1:19" s="26" customFormat="1" ht="21" customHeight="1">
      <c r="A282" s="66"/>
      <c r="B282" s="80"/>
      <c r="C282" s="84">
        <v>4170</v>
      </c>
      <c r="D282" s="41" t="s">
        <v>193</v>
      </c>
      <c r="E282" s="79">
        <v>14500</v>
      </c>
      <c r="F282" s="79">
        <v>800</v>
      </c>
      <c r="G282" s="79">
        <f t="shared" si="157"/>
        <v>15300</v>
      </c>
      <c r="H282" s="79"/>
      <c r="I282" s="79">
        <f t="shared" si="158"/>
        <v>15300</v>
      </c>
      <c r="J282" s="79"/>
      <c r="K282" s="79">
        <f t="shared" si="159"/>
        <v>15300</v>
      </c>
      <c r="L282" s="79"/>
      <c r="M282" s="79">
        <f t="shared" si="160"/>
        <v>15300</v>
      </c>
      <c r="N282" s="79"/>
      <c r="O282" s="79">
        <f t="shared" si="161"/>
        <v>15300</v>
      </c>
      <c r="P282" s="79"/>
      <c r="Q282" s="79">
        <f t="shared" si="162"/>
        <v>15300</v>
      </c>
      <c r="R282" s="79"/>
      <c r="S282" s="79">
        <f t="shared" si="163"/>
        <v>15300</v>
      </c>
    </row>
    <row r="283" spans="1:19" s="26" customFormat="1" ht="21" customHeight="1">
      <c r="A283" s="66"/>
      <c r="B283" s="80"/>
      <c r="C283" s="84">
        <v>4210</v>
      </c>
      <c r="D283" s="41" t="s">
        <v>90</v>
      </c>
      <c r="E283" s="79">
        <f>300+247300</f>
        <v>247600</v>
      </c>
      <c r="F283" s="79">
        <f>300+300</f>
        <v>600</v>
      </c>
      <c r="G283" s="79">
        <f t="shared" si="157"/>
        <v>248200</v>
      </c>
      <c r="H283" s="79"/>
      <c r="I283" s="79">
        <f t="shared" si="158"/>
        <v>248200</v>
      </c>
      <c r="J283" s="79"/>
      <c r="K283" s="79">
        <f t="shared" si="159"/>
        <v>248200</v>
      </c>
      <c r="L283" s="79"/>
      <c r="M283" s="79">
        <f t="shared" si="160"/>
        <v>248200</v>
      </c>
      <c r="N283" s="79"/>
      <c r="O283" s="79">
        <f t="shared" si="161"/>
        <v>248200</v>
      </c>
      <c r="P283" s="79">
        <v>-8000</v>
      </c>
      <c r="Q283" s="79">
        <f t="shared" si="162"/>
        <v>240200</v>
      </c>
      <c r="R283" s="79"/>
      <c r="S283" s="79">
        <f t="shared" si="163"/>
        <v>240200</v>
      </c>
    </row>
    <row r="284" spans="1:19" s="26" customFormat="1" ht="22.5">
      <c r="A284" s="66"/>
      <c r="B284" s="80"/>
      <c r="C284" s="84">
        <v>4230</v>
      </c>
      <c r="D284" s="41" t="s">
        <v>238</v>
      </c>
      <c r="E284" s="79">
        <v>1500</v>
      </c>
      <c r="F284" s="79"/>
      <c r="G284" s="79">
        <f t="shared" si="157"/>
        <v>1500</v>
      </c>
      <c r="H284" s="79"/>
      <c r="I284" s="79">
        <f t="shared" si="158"/>
        <v>1500</v>
      </c>
      <c r="J284" s="79"/>
      <c r="K284" s="79">
        <f t="shared" si="159"/>
        <v>1500</v>
      </c>
      <c r="L284" s="79"/>
      <c r="M284" s="79">
        <f t="shared" si="160"/>
        <v>1500</v>
      </c>
      <c r="N284" s="79"/>
      <c r="O284" s="79">
        <f t="shared" si="161"/>
        <v>1500</v>
      </c>
      <c r="P284" s="79"/>
      <c r="Q284" s="79">
        <f t="shared" si="162"/>
        <v>1500</v>
      </c>
      <c r="R284" s="79"/>
      <c r="S284" s="79">
        <f t="shared" si="163"/>
        <v>1500</v>
      </c>
    </row>
    <row r="285" spans="1:19" s="26" customFormat="1" ht="22.5">
      <c r="A285" s="66"/>
      <c r="B285" s="80"/>
      <c r="C285" s="84">
        <v>4240</v>
      </c>
      <c r="D285" s="41" t="s">
        <v>121</v>
      </c>
      <c r="E285" s="79">
        <v>46900</v>
      </c>
      <c r="F285" s="79"/>
      <c r="G285" s="79">
        <f t="shared" si="157"/>
        <v>46900</v>
      </c>
      <c r="H285" s="79"/>
      <c r="I285" s="79">
        <f t="shared" si="158"/>
        <v>46900</v>
      </c>
      <c r="J285" s="79"/>
      <c r="K285" s="79">
        <f t="shared" si="159"/>
        <v>46900</v>
      </c>
      <c r="L285" s="79"/>
      <c r="M285" s="79">
        <f t="shared" si="160"/>
        <v>46900</v>
      </c>
      <c r="N285" s="79"/>
      <c r="O285" s="79">
        <f t="shared" si="161"/>
        <v>46900</v>
      </c>
      <c r="P285" s="79">
        <v>8000</v>
      </c>
      <c r="Q285" s="79">
        <f t="shared" si="162"/>
        <v>54900</v>
      </c>
      <c r="R285" s="79"/>
      <c r="S285" s="79">
        <f t="shared" si="163"/>
        <v>54900</v>
      </c>
    </row>
    <row r="286" spans="1:19" s="26" customFormat="1" ht="21" customHeight="1">
      <c r="A286" s="66"/>
      <c r="B286" s="80"/>
      <c r="C286" s="84">
        <v>4260</v>
      </c>
      <c r="D286" s="41" t="s">
        <v>93</v>
      </c>
      <c r="E286" s="79">
        <v>389300</v>
      </c>
      <c r="F286" s="79"/>
      <c r="G286" s="79">
        <f t="shared" si="157"/>
        <v>389300</v>
      </c>
      <c r="H286" s="79"/>
      <c r="I286" s="79">
        <f t="shared" si="158"/>
        <v>389300</v>
      </c>
      <c r="J286" s="79"/>
      <c r="K286" s="79">
        <f t="shared" si="159"/>
        <v>389300</v>
      </c>
      <c r="L286" s="79"/>
      <c r="M286" s="79">
        <f t="shared" si="160"/>
        <v>389300</v>
      </c>
      <c r="N286" s="79"/>
      <c r="O286" s="79">
        <f t="shared" si="161"/>
        <v>389300</v>
      </c>
      <c r="P286" s="79"/>
      <c r="Q286" s="79">
        <f t="shared" si="162"/>
        <v>389300</v>
      </c>
      <c r="R286" s="79"/>
      <c r="S286" s="79">
        <f t="shared" si="163"/>
        <v>389300</v>
      </c>
    </row>
    <row r="287" spans="1:19" s="26" customFormat="1" ht="21" customHeight="1">
      <c r="A287" s="66"/>
      <c r="B287" s="80"/>
      <c r="C287" s="84">
        <v>4270</v>
      </c>
      <c r="D287" s="41" t="s">
        <v>76</v>
      </c>
      <c r="E287" s="79">
        <f>150000+60580-20000</f>
        <v>190580</v>
      </c>
      <c r="F287" s="79">
        <v>-800</v>
      </c>
      <c r="G287" s="79">
        <f t="shared" si="157"/>
        <v>189780</v>
      </c>
      <c r="H287" s="79"/>
      <c r="I287" s="79">
        <f t="shared" si="158"/>
        <v>189780</v>
      </c>
      <c r="J287" s="79"/>
      <c r="K287" s="79">
        <f t="shared" si="159"/>
        <v>189780</v>
      </c>
      <c r="L287" s="79"/>
      <c r="M287" s="79">
        <f t="shared" si="160"/>
        <v>189780</v>
      </c>
      <c r="N287" s="79"/>
      <c r="O287" s="79">
        <f t="shared" si="161"/>
        <v>189780</v>
      </c>
      <c r="P287" s="79"/>
      <c r="Q287" s="79">
        <f t="shared" si="162"/>
        <v>189780</v>
      </c>
      <c r="R287" s="79"/>
      <c r="S287" s="79">
        <f t="shared" si="163"/>
        <v>189780</v>
      </c>
    </row>
    <row r="288" spans="1:19" s="26" customFormat="1" ht="21" customHeight="1">
      <c r="A288" s="66"/>
      <c r="B288" s="80"/>
      <c r="C288" s="84">
        <v>4280</v>
      </c>
      <c r="D288" s="41" t="s">
        <v>198</v>
      </c>
      <c r="E288" s="79">
        <v>11600</v>
      </c>
      <c r="F288" s="79"/>
      <c r="G288" s="79">
        <f t="shared" si="157"/>
        <v>11600</v>
      </c>
      <c r="H288" s="79"/>
      <c r="I288" s="79">
        <f t="shared" si="158"/>
        <v>11600</v>
      </c>
      <c r="J288" s="79"/>
      <c r="K288" s="79">
        <f t="shared" si="159"/>
        <v>11600</v>
      </c>
      <c r="L288" s="79"/>
      <c r="M288" s="79">
        <f t="shared" si="160"/>
        <v>11600</v>
      </c>
      <c r="N288" s="79"/>
      <c r="O288" s="79">
        <f t="shared" si="161"/>
        <v>11600</v>
      </c>
      <c r="P288" s="79"/>
      <c r="Q288" s="79">
        <f t="shared" si="162"/>
        <v>11600</v>
      </c>
      <c r="R288" s="79"/>
      <c r="S288" s="79">
        <f t="shared" si="163"/>
        <v>11600</v>
      </c>
    </row>
    <row r="289" spans="1:19" s="26" customFormat="1" ht="21" customHeight="1">
      <c r="A289" s="66"/>
      <c r="B289" s="80"/>
      <c r="C289" s="84">
        <v>4300</v>
      </c>
      <c r="D289" s="41" t="s">
        <v>77</v>
      </c>
      <c r="E289" s="79">
        <v>69700</v>
      </c>
      <c r="F289" s="79"/>
      <c r="G289" s="79">
        <f t="shared" si="157"/>
        <v>69700</v>
      </c>
      <c r="H289" s="79"/>
      <c r="I289" s="79">
        <f t="shared" si="158"/>
        <v>69700</v>
      </c>
      <c r="J289" s="79"/>
      <c r="K289" s="79">
        <f t="shared" si="159"/>
        <v>69700</v>
      </c>
      <c r="L289" s="79"/>
      <c r="M289" s="79">
        <f t="shared" si="160"/>
        <v>69700</v>
      </c>
      <c r="N289" s="79"/>
      <c r="O289" s="79">
        <f t="shared" si="161"/>
        <v>69700</v>
      </c>
      <c r="P289" s="79"/>
      <c r="Q289" s="79">
        <f t="shared" si="162"/>
        <v>69700</v>
      </c>
      <c r="R289" s="79"/>
      <c r="S289" s="79">
        <f t="shared" si="163"/>
        <v>69700</v>
      </c>
    </row>
    <row r="290" spans="1:19" s="26" customFormat="1" ht="21" customHeight="1">
      <c r="A290" s="66"/>
      <c r="B290" s="80"/>
      <c r="C290" s="84">
        <v>4350</v>
      </c>
      <c r="D290" s="41" t="s">
        <v>204</v>
      </c>
      <c r="E290" s="79">
        <v>3100</v>
      </c>
      <c r="F290" s="79"/>
      <c r="G290" s="79">
        <f t="shared" si="157"/>
        <v>3100</v>
      </c>
      <c r="H290" s="79"/>
      <c r="I290" s="79">
        <f t="shared" si="158"/>
        <v>3100</v>
      </c>
      <c r="J290" s="79"/>
      <c r="K290" s="79">
        <f t="shared" si="159"/>
        <v>3100</v>
      </c>
      <c r="L290" s="79"/>
      <c r="M290" s="79">
        <f t="shared" si="160"/>
        <v>3100</v>
      </c>
      <c r="N290" s="79"/>
      <c r="O290" s="79">
        <f t="shared" si="161"/>
        <v>3100</v>
      </c>
      <c r="P290" s="79"/>
      <c r="Q290" s="79">
        <f t="shared" si="162"/>
        <v>3100</v>
      </c>
      <c r="R290" s="79"/>
      <c r="S290" s="79">
        <f t="shared" si="163"/>
        <v>3100</v>
      </c>
    </row>
    <row r="291" spans="1:19" s="26" customFormat="1" ht="38.25" customHeight="1">
      <c r="A291" s="66"/>
      <c r="B291" s="80"/>
      <c r="C291" s="84">
        <v>4370</v>
      </c>
      <c r="D291" s="41" t="s">
        <v>294</v>
      </c>
      <c r="E291" s="79">
        <v>7500</v>
      </c>
      <c r="F291" s="79"/>
      <c r="G291" s="79">
        <f t="shared" si="157"/>
        <v>7500</v>
      </c>
      <c r="H291" s="79"/>
      <c r="I291" s="79">
        <f t="shared" si="158"/>
        <v>7500</v>
      </c>
      <c r="J291" s="79"/>
      <c r="K291" s="79">
        <f t="shared" si="159"/>
        <v>7500</v>
      </c>
      <c r="L291" s="79"/>
      <c r="M291" s="79">
        <f t="shared" si="160"/>
        <v>7500</v>
      </c>
      <c r="N291" s="79"/>
      <c r="O291" s="79">
        <f t="shared" si="161"/>
        <v>7500</v>
      </c>
      <c r="P291" s="79"/>
      <c r="Q291" s="79">
        <f t="shared" si="162"/>
        <v>7500</v>
      </c>
      <c r="R291" s="79"/>
      <c r="S291" s="79">
        <f t="shared" si="163"/>
        <v>7500</v>
      </c>
    </row>
    <row r="292" spans="1:19" s="26" customFormat="1" ht="22.5">
      <c r="A292" s="66"/>
      <c r="B292" s="80"/>
      <c r="C292" s="84">
        <v>4390</v>
      </c>
      <c r="D292" s="41" t="s">
        <v>247</v>
      </c>
      <c r="E292" s="79">
        <v>2000</v>
      </c>
      <c r="F292" s="79"/>
      <c r="G292" s="79">
        <f t="shared" si="157"/>
        <v>2000</v>
      </c>
      <c r="H292" s="79"/>
      <c r="I292" s="79">
        <f t="shared" si="158"/>
        <v>2000</v>
      </c>
      <c r="J292" s="79"/>
      <c r="K292" s="79">
        <f t="shared" si="159"/>
        <v>2000</v>
      </c>
      <c r="L292" s="79"/>
      <c r="M292" s="79">
        <f t="shared" si="160"/>
        <v>2000</v>
      </c>
      <c r="N292" s="79"/>
      <c r="O292" s="79">
        <f t="shared" si="161"/>
        <v>2000</v>
      </c>
      <c r="P292" s="79"/>
      <c r="Q292" s="79">
        <f t="shared" si="162"/>
        <v>2000</v>
      </c>
      <c r="R292" s="79"/>
      <c r="S292" s="79">
        <f t="shared" si="163"/>
        <v>2000</v>
      </c>
    </row>
    <row r="293" spans="1:19" s="26" customFormat="1" ht="21" customHeight="1">
      <c r="A293" s="66"/>
      <c r="B293" s="80"/>
      <c r="C293" s="84">
        <v>4410</v>
      </c>
      <c r="D293" s="41" t="s">
        <v>88</v>
      </c>
      <c r="E293" s="79">
        <v>8800</v>
      </c>
      <c r="F293" s="79"/>
      <c r="G293" s="79">
        <f t="shared" si="157"/>
        <v>8800</v>
      </c>
      <c r="H293" s="79"/>
      <c r="I293" s="79">
        <f t="shared" si="158"/>
        <v>8800</v>
      </c>
      <c r="J293" s="79"/>
      <c r="K293" s="79">
        <f t="shared" si="159"/>
        <v>8800</v>
      </c>
      <c r="L293" s="79"/>
      <c r="M293" s="79">
        <f t="shared" si="160"/>
        <v>8800</v>
      </c>
      <c r="N293" s="79"/>
      <c r="O293" s="79">
        <f t="shared" si="161"/>
        <v>8800</v>
      </c>
      <c r="P293" s="79"/>
      <c r="Q293" s="79">
        <f t="shared" si="162"/>
        <v>8800</v>
      </c>
      <c r="R293" s="79"/>
      <c r="S293" s="79">
        <f t="shared" si="163"/>
        <v>8800</v>
      </c>
    </row>
    <row r="294" spans="1:19" s="26" customFormat="1" ht="21" customHeight="1">
      <c r="A294" s="66"/>
      <c r="B294" s="80"/>
      <c r="C294" s="84">
        <v>4430</v>
      </c>
      <c r="D294" s="41" t="s">
        <v>92</v>
      </c>
      <c r="E294" s="79">
        <v>13350</v>
      </c>
      <c r="F294" s="79"/>
      <c r="G294" s="79">
        <f t="shared" si="157"/>
        <v>13350</v>
      </c>
      <c r="H294" s="79"/>
      <c r="I294" s="79">
        <f t="shared" si="158"/>
        <v>13350</v>
      </c>
      <c r="J294" s="79"/>
      <c r="K294" s="79">
        <f t="shared" si="159"/>
        <v>13350</v>
      </c>
      <c r="L294" s="79"/>
      <c r="M294" s="79">
        <f t="shared" si="160"/>
        <v>13350</v>
      </c>
      <c r="N294" s="79"/>
      <c r="O294" s="79">
        <f t="shared" si="161"/>
        <v>13350</v>
      </c>
      <c r="P294" s="79"/>
      <c r="Q294" s="79">
        <f t="shared" si="162"/>
        <v>13350</v>
      </c>
      <c r="R294" s="79"/>
      <c r="S294" s="79">
        <f t="shared" si="163"/>
        <v>13350</v>
      </c>
    </row>
    <row r="295" spans="1:19" s="26" customFormat="1" ht="22.5">
      <c r="A295" s="66"/>
      <c r="B295" s="80"/>
      <c r="C295" s="84">
        <v>4440</v>
      </c>
      <c r="D295" s="41" t="s">
        <v>86</v>
      </c>
      <c r="E295" s="79">
        <v>223649</v>
      </c>
      <c r="F295" s="79"/>
      <c r="G295" s="79">
        <f t="shared" si="157"/>
        <v>223649</v>
      </c>
      <c r="H295" s="79"/>
      <c r="I295" s="79">
        <f t="shared" si="158"/>
        <v>223649</v>
      </c>
      <c r="J295" s="79"/>
      <c r="K295" s="79">
        <f t="shared" si="159"/>
        <v>223649</v>
      </c>
      <c r="L295" s="79"/>
      <c r="M295" s="79">
        <f t="shared" si="160"/>
        <v>223649</v>
      </c>
      <c r="N295" s="79"/>
      <c r="O295" s="79">
        <f t="shared" si="161"/>
        <v>223649</v>
      </c>
      <c r="P295" s="79"/>
      <c r="Q295" s="79">
        <f t="shared" si="162"/>
        <v>223649</v>
      </c>
      <c r="R295" s="79"/>
      <c r="S295" s="79">
        <f t="shared" si="163"/>
        <v>223649</v>
      </c>
    </row>
    <row r="296" spans="1:19" s="26" customFormat="1" ht="27" customHeight="1">
      <c r="A296" s="66"/>
      <c r="B296" s="80"/>
      <c r="C296" s="84">
        <v>4700</v>
      </c>
      <c r="D296" s="41" t="s">
        <v>239</v>
      </c>
      <c r="E296" s="79">
        <v>2500</v>
      </c>
      <c r="F296" s="79"/>
      <c r="G296" s="79">
        <f t="shared" si="157"/>
        <v>2500</v>
      </c>
      <c r="H296" s="79"/>
      <c r="I296" s="79">
        <f t="shared" si="158"/>
        <v>2500</v>
      </c>
      <c r="J296" s="79"/>
      <c r="K296" s="79">
        <f t="shared" si="159"/>
        <v>2500</v>
      </c>
      <c r="L296" s="79"/>
      <c r="M296" s="79">
        <f t="shared" si="160"/>
        <v>2500</v>
      </c>
      <c r="N296" s="79"/>
      <c r="O296" s="79">
        <f t="shared" si="161"/>
        <v>2500</v>
      </c>
      <c r="P296" s="79"/>
      <c r="Q296" s="79">
        <f t="shared" si="162"/>
        <v>2500</v>
      </c>
      <c r="R296" s="79"/>
      <c r="S296" s="79">
        <f t="shared" si="163"/>
        <v>2500</v>
      </c>
    </row>
    <row r="297" spans="1:19" s="26" customFormat="1" ht="21" customHeight="1">
      <c r="A297" s="66"/>
      <c r="B297" s="80"/>
      <c r="C297" s="84">
        <v>6050</v>
      </c>
      <c r="D297" s="14" t="s">
        <v>71</v>
      </c>
      <c r="E297" s="79">
        <f>700000+2600000-200000</f>
        <v>3100000</v>
      </c>
      <c r="F297" s="79">
        <v>-700000</v>
      </c>
      <c r="G297" s="79">
        <f t="shared" si="157"/>
        <v>2400000</v>
      </c>
      <c r="H297" s="79"/>
      <c r="I297" s="79">
        <f t="shared" si="158"/>
        <v>2400000</v>
      </c>
      <c r="J297" s="79"/>
      <c r="K297" s="79">
        <f t="shared" si="159"/>
        <v>2400000</v>
      </c>
      <c r="L297" s="79"/>
      <c r="M297" s="79">
        <f t="shared" si="160"/>
        <v>2400000</v>
      </c>
      <c r="N297" s="79"/>
      <c r="O297" s="79">
        <f t="shared" si="161"/>
        <v>2400000</v>
      </c>
      <c r="P297" s="79"/>
      <c r="Q297" s="79">
        <f t="shared" si="162"/>
        <v>2400000</v>
      </c>
      <c r="R297" s="79"/>
      <c r="S297" s="79">
        <f t="shared" si="163"/>
        <v>2400000</v>
      </c>
    </row>
    <row r="298" spans="1:19" s="26" customFormat="1" ht="21" customHeight="1">
      <c r="A298" s="66"/>
      <c r="B298" s="71" t="s">
        <v>114</v>
      </c>
      <c r="C298" s="50"/>
      <c r="D298" s="14" t="s">
        <v>115</v>
      </c>
      <c r="E298" s="70">
        <f aca="true" t="shared" si="164" ref="E298:K298">SUM(E299:E304)</f>
        <v>290351</v>
      </c>
      <c r="F298" s="70">
        <f t="shared" si="164"/>
        <v>0</v>
      </c>
      <c r="G298" s="70">
        <f t="shared" si="164"/>
        <v>290351</v>
      </c>
      <c r="H298" s="70">
        <f t="shared" si="164"/>
        <v>0</v>
      </c>
      <c r="I298" s="70">
        <f t="shared" si="164"/>
        <v>290351</v>
      </c>
      <c r="J298" s="70">
        <f t="shared" si="164"/>
        <v>121537</v>
      </c>
      <c r="K298" s="70">
        <f t="shared" si="164"/>
        <v>411888</v>
      </c>
      <c r="L298" s="70">
        <f aca="true" t="shared" si="165" ref="L298:Q298">SUM(L299:L304)</f>
        <v>0</v>
      </c>
      <c r="M298" s="70">
        <f t="shared" si="165"/>
        <v>411888</v>
      </c>
      <c r="N298" s="70">
        <f t="shared" si="165"/>
        <v>0</v>
      </c>
      <c r="O298" s="70">
        <f t="shared" si="165"/>
        <v>411888</v>
      </c>
      <c r="P298" s="70">
        <f t="shared" si="165"/>
        <v>0</v>
      </c>
      <c r="Q298" s="70">
        <f t="shared" si="165"/>
        <v>411888</v>
      </c>
      <c r="R298" s="70">
        <f>SUM(R299:R304)</f>
        <v>0</v>
      </c>
      <c r="S298" s="70">
        <f>SUM(S299:S304)</f>
        <v>411888</v>
      </c>
    </row>
    <row r="299" spans="1:19" s="26" customFormat="1" ht="21" customHeight="1">
      <c r="A299" s="66"/>
      <c r="B299" s="71"/>
      <c r="C299" s="50">
        <v>4110</v>
      </c>
      <c r="D299" s="41" t="s">
        <v>84</v>
      </c>
      <c r="E299" s="70">
        <v>3110</v>
      </c>
      <c r="F299" s="70"/>
      <c r="G299" s="70">
        <f aca="true" t="shared" si="166" ref="G299:G304">SUM(E299:F299)</f>
        <v>3110</v>
      </c>
      <c r="H299" s="70"/>
      <c r="I299" s="70">
        <f aca="true" t="shared" si="167" ref="I299:I304">SUM(G299:H299)</f>
        <v>3110</v>
      </c>
      <c r="J299" s="70">
        <v>390</v>
      </c>
      <c r="K299" s="70">
        <f aca="true" t="shared" si="168" ref="K299:K304">SUM(I299:J299)</f>
        <v>3500</v>
      </c>
      <c r="L299" s="70"/>
      <c r="M299" s="70">
        <f aca="true" t="shared" si="169" ref="M299:M304">SUM(K299:L299)</f>
        <v>3500</v>
      </c>
      <c r="N299" s="70"/>
      <c r="O299" s="70">
        <f aca="true" t="shared" si="170" ref="O299:O304">SUM(M299:N299)</f>
        <v>3500</v>
      </c>
      <c r="P299" s="70"/>
      <c r="Q299" s="70">
        <f aca="true" t="shared" si="171" ref="Q299:Q304">SUM(O299:P299)</f>
        <v>3500</v>
      </c>
      <c r="R299" s="70"/>
      <c r="S299" s="70">
        <f aca="true" t="shared" si="172" ref="S299:S304">SUM(Q299:R299)</f>
        <v>3500</v>
      </c>
    </row>
    <row r="300" spans="1:19" s="26" customFormat="1" ht="21" customHeight="1">
      <c r="A300" s="66"/>
      <c r="B300" s="71"/>
      <c r="C300" s="50">
        <v>4120</v>
      </c>
      <c r="D300" s="41" t="s">
        <v>85</v>
      </c>
      <c r="E300" s="70">
        <v>441</v>
      </c>
      <c r="F300" s="70"/>
      <c r="G300" s="70">
        <f t="shared" si="166"/>
        <v>441</v>
      </c>
      <c r="H300" s="70"/>
      <c r="I300" s="70">
        <f t="shared" si="167"/>
        <v>441</v>
      </c>
      <c r="J300" s="70">
        <v>159</v>
      </c>
      <c r="K300" s="70">
        <f t="shared" si="168"/>
        <v>600</v>
      </c>
      <c r="L300" s="70"/>
      <c r="M300" s="70">
        <f t="shared" si="169"/>
        <v>600</v>
      </c>
      <c r="N300" s="70"/>
      <c r="O300" s="70">
        <f t="shared" si="170"/>
        <v>600</v>
      </c>
      <c r="P300" s="70"/>
      <c r="Q300" s="70">
        <f t="shared" si="171"/>
        <v>600</v>
      </c>
      <c r="R300" s="70"/>
      <c r="S300" s="70">
        <f t="shared" si="172"/>
        <v>600</v>
      </c>
    </row>
    <row r="301" spans="1:19" s="26" customFormat="1" ht="21" customHeight="1">
      <c r="A301" s="66"/>
      <c r="B301" s="71"/>
      <c r="C301" s="50">
        <v>4170</v>
      </c>
      <c r="D301" s="41" t="s">
        <v>193</v>
      </c>
      <c r="E301" s="70">
        <v>33000</v>
      </c>
      <c r="F301" s="70"/>
      <c r="G301" s="70">
        <f t="shared" si="166"/>
        <v>33000</v>
      </c>
      <c r="H301" s="70"/>
      <c r="I301" s="70">
        <f t="shared" si="167"/>
        <v>33000</v>
      </c>
      <c r="J301" s="70">
        <v>5000</v>
      </c>
      <c r="K301" s="70">
        <f t="shared" si="168"/>
        <v>38000</v>
      </c>
      <c r="L301" s="70"/>
      <c r="M301" s="70">
        <f t="shared" si="169"/>
        <v>38000</v>
      </c>
      <c r="N301" s="70"/>
      <c r="O301" s="70">
        <f t="shared" si="170"/>
        <v>38000</v>
      </c>
      <c r="P301" s="70"/>
      <c r="Q301" s="70">
        <f t="shared" si="171"/>
        <v>38000</v>
      </c>
      <c r="R301" s="70"/>
      <c r="S301" s="70">
        <f t="shared" si="172"/>
        <v>38000</v>
      </c>
    </row>
    <row r="302" spans="1:19" s="26" customFormat="1" ht="21" customHeight="1">
      <c r="A302" s="66"/>
      <c r="B302" s="71"/>
      <c r="C302" s="50">
        <v>4210</v>
      </c>
      <c r="D302" s="14" t="s">
        <v>90</v>
      </c>
      <c r="E302" s="70">
        <v>40000</v>
      </c>
      <c r="F302" s="70"/>
      <c r="G302" s="70">
        <f t="shared" si="166"/>
        <v>40000</v>
      </c>
      <c r="H302" s="70"/>
      <c r="I302" s="70">
        <f t="shared" si="167"/>
        <v>40000</v>
      </c>
      <c r="J302" s="70">
        <v>15000</v>
      </c>
      <c r="K302" s="70">
        <f t="shared" si="168"/>
        <v>55000</v>
      </c>
      <c r="L302" s="70"/>
      <c r="M302" s="70">
        <f t="shared" si="169"/>
        <v>55000</v>
      </c>
      <c r="N302" s="70"/>
      <c r="O302" s="70">
        <f t="shared" si="170"/>
        <v>55000</v>
      </c>
      <c r="P302" s="70"/>
      <c r="Q302" s="70">
        <f t="shared" si="171"/>
        <v>55000</v>
      </c>
      <c r="R302" s="70"/>
      <c r="S302" s="70">
        <f t="shared" si="172"/>
        <v>55000</v>
      </c>
    </row>
    <row r="303" spans="1:19" s="26" customFormat="1" ht="21" customHeight="1">
      <c r="A303" s="66"/>
      <c r="B303" s="71"/>
      <c r="C303" s="50">
        <v>4300</v>
      </c>
      <c r="D303" s="14" t="s">
        <v>77</v>
      </c>
      <c r="E303" s="70">
        <v>205000</v>
      </c>
      <c r="F303" s="70"/>
      <c r="G303" s="70">
        <f t="shared" si="166"/>
        <v>205000</v>
      </c>
      <c r="H303" s="70"/>
      <c r="I303" s="70">
        <f t="shared" si="167"/>
        <v>205000</v>
      </c>
      <c r="J303" s="70">
        <v>99000</v>
      </c>
      <c r="K303" s="70">
        <f t="shared" si="168"/>
        <v>304000</v>
      </c>
      <c r="L303" s="70"/>
      <c r="M303" s="70">
        <f t="shared" si="169"/>
        <v>304000</v>
      </c>
      <c r="N303" s="70"/>
      <c r="O303" s="70">
        <f t="shared" si="170"/>
        <v>304000</v>
      </c>
      <c r="P303" s="70"/>
      <c r="Q303" s="70">
        <f t="shared" si="171"/>
        <v>304000</v>
      </c>
      <c r="R303" s="70"/>
      <c r="S303" s="70">
        <f t="shared" si="172"/>
        <v>304000</v>
      </c>
    </row>
    <row r="304" spans="1:19" s="26" customFormat="1" ht="21" customHeight="1">
      <c r="A304" s="66"/>
      <c r="B304" s="71"/>
      <c r="C304" s="50">
        <v>4430</v>
      </c>
      <c r="D304" s="41" t="s">
        <v>92</v>
      </c>
      <c r="E304" s="70">
        <v>8800</v>
      </c>
      <c r="F304" s="70"/>
      <c r="G304" s="70">
        <f t="shared" si="166"/>
        <v>8800</v>
      </c>
      <c r="H304" s="70"/>
      <c r="I304" s="70">
        <f t="shared" si="167"/>
        <v>8800</v>
      </c>
      <c r="J304" s="70">
        <v>1988</v>
      </c>
      <c r="K304" s="70">
        <f t="shared" si="168"/>
        <v>10788</v>
      </c>
      <c r="L304" s="70"/>
      <c r="M304" s="70">
        <f t="shared" si="169"/>
        <v>10788</v>
      </c>
      <c r="N304" s="70"/>
      <c r="O304" s="70">
        <f t="shared" si="170"/>
        <v>10788</v>
      </c>
      <c r="P304" s="70"/>
      <c r="Q304" s="70">
        <f t="shared" si="171"/>
        <v>10788</v>
      </c>
      <c r="R304" s="70"/>
      <c r="S304" s="70">
        <f t="shared" si="172"/>
        <v>10788</v>
      </c>
    </row>
    <row r="305" spans="1:19" s="26" customFormat="1" ht="21" customHeight="1">
      <c r="A305" s="66"/>
      <c r="B305" s="85">
        <v>80146</v>
      </c>
      <c r="C305" s="69"/>
      <c r="D305" s="41" t="s">
        <v>145</v>
      </c>
      <c r="E305" s="79">
        <f aca="true" t="shared" si="173" ref="E305:K305">SUM(E306:E309)</f>
        <v>122569</v>
      </c>
      <c r="F305" s="79">
        <f t="shared" si="173"/>
        <v>0</v>
      </c>
      <c r="G305" s="79">
        <f t="shared" si="173"/>
        <v>122569</v>
      </c>
      <c r="H305" s="79">
        <f t="shared" si="173"/>
        <v>0</v>
      </c>
      <c r="I305" s="79">
        <f t="shared" si="173"/>
        <v>122569</v>
      </c>
      <c r="J305" s="79">
        <f t="shared" si="173"/>
        <v>0</v>
      </c>
      <c r="K305" s="79">
        <f t="shared" si="173"/>
        <v>122569</v>
      </c>
      <c r="L305" s="79">
        <f aca="true" t="shared" si="174" ref="L305:Q305">SUM(L306:L309)</f>
        <v>0</v>
      </c>
      <c r="M305" s="79">
        <f t="shared" si="174"/>
        <v>122569</v>
      </c>
      <c r="N305" s="79">
        <f t="shared" si="174"/>
        <v>0</v>
      </c>
      <c r="O305" s="79">
        <f t="shared" si="174"/>
        <v>122569</v>
      </c>
      <c r="P305" s="79">
        <f t="shared" si="174"/>
        <v>0</v>
      </c>
      <c r="Q305" s="79">
        <f t="shared" si="174"/>
        <v>122569</v>
      </c>
      <c r="R305" s="79">
        <f>SUM(R306:R309)</f>
        <v>0</v>
      </c>
      <c r="S305" s="79">
        <f>SUM(S306:S309)</f>
        <v>122569</v>
      </c>
    </row>
    <row r="306" spans="1:19" s="26" customFormat="1" ht="21" customHeight="1">
      <c r="A306" s="66"/>
      <c r="B306" s="85"/>
      <c r="C306" s="69">
        <v>4210</v>
      </c>
      <c r="D306" s="41" t="s">
        <v>70</v>
      </c>
      <c r="E306" s="79">
        <v>400</v>
      </c>
      <c r="F306" s="79"/>
      <c r="G306" s="79">
        <f>SUM(E306:F306)</f>
        <v>400</v>
      </c>
      <c r="H306" s="79"/>
      <c r="I306" s="79">
        <f>SUM(G306:H306)</f>
        <v>400</v>
      </c>
      <c r="J306" s="79"/>
      <c r="K306" s="79">
        <f>SUM(I306:J306)</f>
        <v>400</v>
      </c>
      <c r="L306" s="79"/>
      <c r="M306" s="79">
        <f>SUM(K306:L306)</f>
        <v>400</v>
      </c>
      <c r="N306" s="79"/>
      <c r="O306" s="79">
        <f>SUM(M306:N306)</f>
        <v>400</v>
      </c>
      <c r="P306" s="79"/>
      <c r="Q306" s="79">
        <f>SUM(O306:P306)</f>
        <v>400</v>
      </c>
      <c r="R306" s="79"/>
      <c r="S306" s="79">
        <f>SUM(Q306:R306)</f>
        <v>400</v>
      </c>
    </row>
    <row r="307" spans="1:19" s="26" customFormat="1" ht="21" customHeight="1">
      <c r="A307" s="66"/>
      <c r="B307" s="85"/>
      <c r="C307" s="69">
        <v>4300</v>
      </c>
      <c r="D307" s="41" t="s">
        <v>77</v>
      </c>
      <c r="E307" s="79">
        <v>81767</v>
      </c>
      <c r="F307" s="79">
        <v>-35661</v>
      </c>
      <c r="G307" s="79">
        <f>SUM(E307:F307)</f>
        <v>46106</v>
      </c>
      <c r="H307" s="79"/>
      <c r="I307" s="79">
        <f>SUM(G307:H307)</f>
        <v>46106</v>
      </c>
      <c r="J307" s="79">
        <v>-15792</v>
      </c>
      <c r="K307" s="79">
        <f>SUM(I307:J307)</f>
        <v>30314</v>
      </c>
      <c r="L307" s="79"/>
      <c r="M307" s="79">
        <f>SUM(K307:L307)</f>
        <v>30314</v>
      </c>
      <c r="N307" s="79"/>
      <c r="O307" s="79">
        <f>SUM(M307:N307)</f>
        <v>30314</v>
      </c>
      <c r="P307" s="79"/>
      <c r="Q307" s="79">
        <f>SUM(O307:P307)</f>
        <v>30314</v>
      </c>
      <c r="R307" s="79"/>
      <c r="S307" s="79">
        <f>SUM(Q307:R307)</f>
        <v>30314</v>
      </c>
    </row>
    <row r="308" spans="1:19" s="26" customFormat="1" ht="21" customHeight="1">
      <c r="A308" s="66"/>
      <c r="B308" s="85"/>
      <c r="C308" s="69">
        <v>4410</v>
      </c>
      <c r="D308" s="41" t="s">
        <v>88</v>
      </c>
      <c r="E308" s="79">
        <v>0</v>
      </c>
      <c r="F308" s="79">
        <v>36954</v>
      </c>
      <c r="G308" s="79">
        <f>SUM(E308:F308)</f>
        <v>36954</v>
      </c>
      <c r="H308" s="79"/>
      <c r="I308" s="79">
        <f>SUM(G308:H308)</f>
        <v>36954</v>
      </c>
      <c r="J308" s="79"/>
      <c r="K308" s="79">
        <f>SUM(I308:J308)</f>
        <v>36954</v>
      </c>
      <c r="L308" s="79"/>
      <c r="M308" s="79">
        <f>SUM(K308:L308)</f>
        <v>36954</v>
      </c>
      <c r="N308" s="79"/>
      <c r="O308" s="79">
        <f>SUM(M308:N308)</f>
        <v>36954</v>
      </c>
      <c r="P308" s="79"/>
      <c r="Q308" s="79">
        <f>SUM(O308:P308)</f>
        <v>36954</v>
      </c>
      <c r="R308" s="79"/>
      <c r="S308" s="79">
        <f>SUM(Q308:R308)</f>
        <v>36954</v>
      </c>
    </row>
    <row r="309" spans="1:19" s="26" customFormat="1" ht="26.25" customHeight="1">
      <c r="A309" s="66"/>
      <c r="B309" s="85"/>
      <c r="C309" s="69">
        <v>4700</v>
      </c>
      <c r="D309" s="41" t="s">
        <v>239</v>
      </c>
      <c r="E309" s="79">
        <v>40402</v>
      </c>
      <c r="F309" s="79">
        <v>-1293</v>
      </c>
      <c r="G309" s="79">
        <f>SUM(E309:F309)</f>
        <v>39109</v>
      </c>
      <c r="H309" s="79"/>
      <c r="I309" s="79">
        <f>SUM(G309:H309)</f>
        <v>39109</v>
      </c>
      <c r="J309" s="79">
        <v>15792</v>
      </c>
      <c r="K309" s="79">
        <f>SUM(I309:J309)</f>
        <v>54901</v>
      </c>
      <c r="L309" s="79"/>
      <c r="M309" s="79">
        <f>SUM(K309:L309)</f>
        <v>54901</v>
      </c>
      <c r="N309" s="79"/>
      <c r="O309" s="79">
        <f>SUM(M309:N309)</f>
        <v>54901</v>
      </c>
      <c r="P309" s="79"/>
      <c r="Q309" s="79">
        <f>SUM(O309:P309)</f>
        <v>54901</v>
      </c>
      <c r="R309" s="79"/>
      <c r="S309" s="79">
        <f>SUM(Q309:R309)</f>
        <v>54901</v>
      </c>
    </row>
    <row r="310" spans="1:19" s="26" customFormat="1" ht="21" customHeight="1">
      <c r="A310" s="66"/>
      <c r="B310" s="85">
        <v>80148</v>
      </c>
      <c r="C310" s="69"/>
      <c r="D310" s="65" t="s">
        <v>279</v>
      </c>
      <c r="E310" s="79">
        <f aca="true" t="shared" si="175" ref="E310:K310">SUM(E311:E323)</f>
        <v>286022</v>
      </c>
      <c r="F310" s="79">
        <f t="shared" si="175"/>
        <v>0</v>
      </c>
      <c r="G310" s="79">
        <f t="shared" si="175"/>
        <v>286022</v>
      </c>
      <c r="H310" s="79">
        <f t="shared" si="175"/>
        <v>0</v>
      </c>
      <c r="I310" s="79">
        <f t="shared" si="175"/>
        <v>286022</v>
      </c>
      <c r="J310" s="79">
        <f t="shared" si="175"/>
        <v>2346</v>
      </c>
      <c r="K310" s="79">
        <f t="shared" si="175"/>
        <v>288368</v>
      </c>
      <c r="L310" s="79">
        <f aca="true" t="shared" si="176" ref="L310:Q310">SUM(L311:L323)</f>
        <v>0</v>
      </c>
      <c r="M310" s="79">
        <f t="shared" si="176"/>
        <v>288368</v>
      </c>
      <c r="N310" s="79">
        <f t="shared" si="176"/>
        <v>0</v>
      </c>
      <c r="O310" s="79">
        <f t="shared" si="176"/>
        <v>288368</v>
      </c>
      <c r="P310" s="79">
        <f t="shared" si="176"/>
        <v>0</v>
      </c>
      <c r="Q310" s="79">
        <f t="shared" si="176"/>
        <v>288368</v>
      </c>
      <c r="R310" s="79">
        <f>SUM(R311:R323)</f>
        <v>0</v>
      </c>
      <c r="S310" s="79">
        <f>SUM(S311:S323)</f>
        <v>288368</v>
      </c>
    </row>
    <row r="311" spans="1:19" s="26" customFormat="1" ht="21" customHeight="1">
      <c r="A311" s="66"/>
      <c r="B311" s="85"/>
      <c r="C311" s="84">
        <v>3020</v>
      </c>
      <c r="D311" s="41" t="s">
        <v>190</v>
      </c>
      <c r="E311" s="79">
        <v>920</v>
      </c>
      <c r="F311" s="79"/>
      <c r="G311" s="79">
        <f>SUM(E311:F311)</f>
        <v>920</v>
      </c>
      <c r="H311" s="79"/>
      <c r="I311" s="79">
        <f>SUM(G311:H311)</f>
        <v>920</v>
      </c>
      <c r="J311" s="79"/>
      <c r="K311" s="79">
        <f>SUM(I311:J311)</f>
        <v>920</v>
      </c>
      <c r="L311" s="79"/>
      <c r="M311" s="79">
        <f>SUM(K311:L311)</f>
        <v>920</v>
      </c>
      <c r="N311" s="79"/>
      <c r="O311" s="79">
        <f>SUM(M311:N311)</f>
        <v>920</v>
      </c>
      <c r="P311" s="79"/>
      <c r="Q311" s="79">
        <f>SUM(O311:P311)</f>
        <v>920</v>
      </c>
      <c r="R311" s="79"/>
      <c r="S311" s="79">
        <f>SUM(Q311:R311)</f>
        <v>920</v>
      </c>
    </row>
    <row r="312" spans="1:19" s="26" customFormat="1" ht="21" customHeight="1">
      <c r="A312" s="66"/>
      <c r="B312" s="85"/>
      <c r="C312" s="84">
        <v>4010</v>
      </c>
      <c r="D312" s="41" t="s">
        <v>82</v>
      </c>
      <c r="E312" s="79">
        <v>116700</v>
      </c>
      <c r="F312" s="79"/>
      <c r="G312" s="79">
        <f aca="true" t="shared" si="177" ref="G312:G323">SUM(E312:F312)</f>
        <v>116700</v>
      </c>
      <c r="H312" s="79"/>
      <c r="I312" s="79">
        <f aca="true" t="shared" si="178" ref="I312:I323">SUM(G312:H312)</f>
        <v>116700</v>
      </c>
      <c r="J312" s="79">
        <v>266</v>
      </c>
      <c r="K312" s="79">
        <f aca="true" t="shared" si="179" ref="K312:K323">SUM(I312:J312)</f>
        <v>116966</v>
      </c>
      <c r="L312" s="79"/>
      <c r="M312" s="79">
        <f aca="true" t="shared" si="180" ref="M312:M323">SUM(K312:L312)</f>
        <v>116966</v>
      </c>
      <c r="N312" s="79"/>
      <c r="O312" s="79">
        <f aca="true" t="shared" si="181" ref="O312:O323">SUM(M312:N312)</f>
        <v>116966</v>
      </c>
      <c r="P312" s="79"/>
      <c r="Q312" s="79">
        <f aca="true" t="shared" si="182" ref="Q312:Q323">SUM(O312:P312)</f>
        <v>116966</v>
      </c>
      <c r="R312" s="79"/>
      <c r="S312" s="79">
        <f aca="true" t="shared" si="183" ref="S312:S323">SUM(Q312:R312)</f>
        <v>116966</v>
      </c>
    </row>
    <row r="313" spans="1:19" s="26" customFormat="1" ht="21" customHeight="1">
      <c r="A313" s="66"/>
      <c r="B313" s="85"/>
      <c r="C313" s="84">
        <v>4040</v>
      </c>
      <c r="D313" s="41" t="s">
        <v>83</v>
      </c>
      <c r="E313" s="79">
        <v>8966</v>
      </c>
      <c r="F313" s="79"/>
      <c r="G313" s="79">
        <f t="shared" si="177"/>
        <v>8966</v>
      </c>
      <c r="H313" s="79"/>
      <c r="I313" s="79">
        <f t="shared" si="178"/>
        <v>8966</v>
      </c>
      <c r="J313" s="79">
        <v>-266</v>
      </c>
      <c r="K313" s="79">
        <f t="shared" si="179"/>
        <v>8700</v>
      </c>
      <c r="L313" s="79"/>
      <c r="M313" s="79">
        <f t="shared" si="180"/>
        <v>8700</v>
      </c>
      <c r="N313" s="79"/>
      <c r="O313" s="79">
        <f t="shared" si="181"/>
        <v>8700</v>
      </c>
      <c r="P313" s="79"/>
      <c r="Q313" s="79">
        <f t="shared" si="182"/>
        <v>8700</v>
      </c>
      <c r="R313" s="79"/>
      <c r="S313" s="79">
        <f t="shared" si="183"/>
        <v>8700</v>
      </c>
    </row>
    <row r="314" spans="1:19" s="26" customFormat="1" ht="21" customHeight="1">
      <c r="A314" s="66"/>
      <c r="B314" s="85"/>
      <c r="C314" s="84">
        <v>4110</v>
      </c>
      <c r="D314" s="41" t="s">
        <v>84</v>
      </c>
      <c r="E314" s="79">
        <v>18769</v>
      </c>
      <c r="F314" s="79"/>
      <c r="G314" s="79">
        <f t="shared" si="177"/>
        <v>18769</v>
      </c>
      <c r="H314" s="79"/>
      <c r="I314" s="79">
        <f t="shared" si="178"/>
        <v>18769</v>
      </c>
      <c r="J314" s="79"/>
      <c r="K314" s="79">
        <f t="shared" si="179"/>
        <v>18769</v>
      </c>
      <c r="L314" s="79"/>
      <c r="M314" s="79">
        <f t="shared" si="180"/>
        <v>18769</v>
      </c>
      <c r="N314" s="79"/>
      <c r="O314" s="79">
        <f t="shared" si="181"/>
        <v>18769</v>
      </c>
      <c r="P314" s="79"/>
      <c r="Q314" s="79">
        <f t="shared" si="182"/>
        <v>18769</v>
      </c>
      <c r="R314" s="79"/>
      <c r="S314" s="79">
        <f t="shared" si="183"/>
        <v>18769</v>
      </c>
    </row>
    <row r="315" spans="1:19" s="26" customFormat="1" ht="21" customHeight="1">
      <c r="A315" s="66"/>
      <c r="B315" s="85"/>
      <c r="C315" s="84">
        <v>4120</v>
      </c>
      <c r="D315" s="41" t="s">
        <v>85</v>
      </c>
      <c r="E315" s="79">
        <v>3042</v>
      </c>
      <c r="F315" s="79"/>
      <c r="G315" s="79">
        <f t="shared" si="177"/>
        <v>3042</v>
      </c>
      <c r="H315" s="79"/>
      <c r="I315" s="79">
        <f t="shared" si="178"/>
        <v>3042</v>
      </c>
      <c r="J315" s="79">
        <v>-252</v>
      </c>
      <c r="K315" s="79">
        <f t="shared" si="179"/>
        <v>2790</v>
      </c>
      <c r="L315" s="79"/>
      <c r="M315" s="79">
        <f t="shared" si="180"/>
        <v>2790</v>
      </c>
      <c r="N315" s="79"/>
      <c r="O315" s="79">
        <f t="shared" si="181"/>
        <v>2790</v>
      </c>
      <c r="P315" s="79"/>
      <c r="Q315" s="79">
        <f t="shared" si="182"/>
        <v>2790</v>
      </c>
      <c r="R315" s="79"/>
      <c r="S315" s="79">
        <f t="shared" si="183"/>
        <v>2790</v>
      </c>
    </row>
    <row r="316" spans="1:19" s="26" customFormat="1" ht="21" customHeight="1">
      <c r="A316" s="66"/>
      <c r="B316" s="85"/>
      <c r="C316" s="84">
        <v>4170</v>
      </c>
      <c r="D316" s="41" t="s">
        <v>193</v>
      </c>
      <c r="E316" s="79"/>
      <c r="F316" s="79"/>
      <c r="G316" s="79"/>
      <c r="H316" s="79"/>
      <c r="I316" s="79">
        <v>0</v>
      </c>
      <c r="J316" s="79">
        <v>2598</v>
      </c>
      <c r="K316" s="79">
        <f t="shared" si="179"/>
        <v>2598</v>
      </c>
      <c r="L316" s="79"/>
      <c r="M316" s="79">
        <f t="shared" si="180"/>
        <v>2598</v>
      </c>
      <c r="N316" s="79"/>
      <c r="O316" s="79">
        <f t="shared" si="181"/>
        <v>2598</v>
      </c>
      <c r="P316" s="79"/>
      <c r="Q316" s="79">
        <f t="shared" si="182"/>
        <v>2598</v>
      </c>
      <c r="R316" s="79"/>
      <c r="S316" s="79">
        <f t="shared" si="183"/>
        <v>2598</v>
      </c>
    </row>
    <row r="317" spans="1:19" s="26" customFormat="1" ht="21" customHeight="1">
      <c r="A317" s="66"/>
      <c r="B317" s="85"/>
      <c r="C317" s="84">
        <v>4210</v>
      </c>
      <c r="D317" s="41" t="s">
        <v>70</v>
      </c>
      <c r="E317" s="79">
        <v>11910</v>
      </c>
      <c r="F317" s="79"/>
      <c r="G317" s="79">
        <f t="shared" si="177"/>
        <v>11910</v>
      </c>
      <c r="H317" s="79"/>
      <c r="I317" s="79">
        <f t="shared" si="178"/>
        <v>11910</v>
      </c>
      <c r="J317" s="79"/>
      <c r="K317" s="79">
        <f t="shared" si="179"/>
        <v>11910</v>
      </c>
      <c r="L317" s="79"/>
      <c r="M317" s="79">
        <f t="shared" si="180"/>
        <v>11910</v>
      </c>
      <c r="N317" s="79"/>
      <c r="O317" s="79">
        <f t="shared" si="181"/>
        <v>11910</v>
      </c>
      <c r="P317" s="79"/>
      <c r="Q317" s="79">
        <f t="shared" si="182"/>
        <v>11910</v>
      </c>
      <c r="R317" s="79"/>
      <c r="S317" s="79">
        <f t="shared" si="183"/>
        <v>11910</v>
      </c>
    </row>
    <row r="318" spans="1:19" s="26" customFormat="1" ht="21" customHeight="1">
      <c r="A318" s="66"/>
      <c r="B318" s="85"/>
      <c r="C318" s="84">
        <v>4220</v>
      </c>
      <c r="D318" s="14" t="s">
        <v>178</v>
      </c>
      <c r="E318" s="79">
        <v>115080</v>
      </c>
      <c r="F318" s="79"/>
      <c r="G318" s="79">
        <f t="shared" si="177"/>
        <v>115080</v>
      </c>
      <c r="H318" s="79"/>
      <c r="I318" s="79">
        <f t="shared" si="178"/>
        <v>115080</v>
      </c>
      <c r="J318" s="79"/>
      <c r="K318" s="79">
        <f t="shared" si="179"/>
        <v>115080</v>
      </c>
      <c r="L318" s="79"/>
      <c r="M318" s="79">
        <f t="shared" si="180"/>
        <v>115080</v>
      </c>
      <c r="N318" s="79"/>
      <c r="O318" s="79">
        <f t="shared" si="181"/>
        <v>115080</v>
      </c>
      <c r="P318" s="79"/>
      <c r="Q318" s="79">
        <f t="shared" si="182"/>
        <v>115080</v>
      </c>
      <c r="R318" s="79"/>
      <c r="S318" s="79">
        <f t="shared" si="183"/>
        <v>115080</v>
      </c>
    </row>
    <row r="319" spans="1:19" s="26" customFormat="1" ht="21" customHeight="1">
      <c r="A319" s="66"/>
      <c r="B319" s="85"/>
      <c r="C319" s="84">
        <v>4230</v>
      </c>
      <c r="D319" s="41" t="s">
        <v>238</v>
      </c>
      <c r="E319" s="79">
        <v>200</v>
      </c>
      <c r="F319" s="79"/>
      <c r="G319" s="79">
        <f t="shared" si="177"/>
        <v>200</v>
      </c>
      <c r="H319" s="79"/>
      <c r="I319" s="79">
        <f t="shared" si="178"/>
        <v>200</v>
      </c>
      <c r="J319" s="79"/>
      <c r="K319" s="79">
        <f t="shared" si="179"/>
        <v>200</v>
      </c>
      <c r="L319" s="79"/>
      <c r="M319" s="79">
        <f t="shared" si="180"/>
        <v>200</v>
      </c>
      <c r="N319" s="79"/>
      <c r="O319" s="79">
        <f t="shared" si="181"/>
        <v>200</v>
      </c>
      <c r="P319" s="79"/>
      <c r="Q319" s="79">
        <f t="shared" si="182"/>
        <v>200</v>
      </c>
      <c r="R319" s="79"/>
      <c r="S319" s="79">
        <f t="shared" si="183"/>
        <v>200</v>
      </c>
    </row>
    <row r="320" spans="1:19" s="26" customFormat="1" ht="21" customHeight="1">
      <c r="A320" s="66"/>
      <c r="B320" s="85"/>
      <c r="C320" s="84">
        <v>4270</v>
      </c>
      <c r="D320" s="14" t="s">
        <v>76</v>
      </c>
      <c r="E320" s="79">
        <v>1000</v>
      </c>
      <c r="F320" s="79"/>
      <c r="G320" s="79">
        <f t="shared" si="177"/>
        <v>1000</v>
      </c>
      <c r="H320" s="79"/>
      <c r="I320" s="79">
        <f t="shared" si="178"/>
        <v>1000</v>
      </c>
      <c r="J320" s="79"/>
      <c r="K320" s="79">
        <f t="shared" si="179"/>
        <v>1000</v>
      </c>
      <c r="L320" s="79"/>
      <c r="M320" s="79">
        <f t="shared" si="180"/>
        <v>1000</v>
      </c>
      <c r="N320" s="79"/>
      <c r="O320" s="79">
        <f t="shared" si="181"/>
        <v>1000</v>
      </c>
      <c r="P320" s="79"/>
      <c r="Q320" s="79">
        <f t="shared" si="182"/>
        <v>1000</v>
      </c>
      <c r="R320" s="79"/>
      <c r="S320" s="79">
        <f t="shared" si="183"/>
        <v>1000</v>
      </c>
    </row>
    <row r="321" spans="1:19" s="26" customFormat="1" ht="21" customHeight="1">
      <c r="A321" s="66"/>
      <c r="B321" s="85"/>
      <c r="C321" s="84">
        <v>4280</v>
      </c>
      <c r="D321" s="41" t="s">
        <v>198</v>
      </c>
      <c r="E321" s="79">
        <v>560</v>
      </c>
      <c r="F321" s="79"/>
      <c r="G321" s="79">
        <f t="shared" si="177"/>
        <v>560</v>
      </c>
      <c r="H321" s="79"/>
      <c r="I321" s="79">
        <f t="shared" si="178"/>
        <v>560</v>
      </c>
      <c r="J321" s="79"/>
      <c r="K321" s="79">
        <f t="shared" si="179"/>
        <v>560</v>
      </c>
      <c r="L321" s="79"/>
      <c r="M321" s="79">
        <f t="shared" si="180"/>
        <v>560</v>
      </c>
      <c r="N321" s="79"/>
      <c r="O321" s="79">
        <f t="shared" si="181"/>
        <v>560</v>
      </c>
      <c r="P321" s="79"/>
      <c r="Q321" s="79">
        <f t="shared" si="182"/>
        <v>560</v>
      </c>
      <c r="R321" s="79"/>
      <c r="S321" s="79">
        <f t="shared" si="183"/>
        <v>560</v>
      </c>
    </row>
    <row r="322" spans="1:19" s="26" customFormat="1" ht="21" customHeight="1">
      <c r="A322" s="66"/>
      <c r="B322" s="85"/>
      <c r="C322" s="84">
        <v>4300</v>
      </c>
      <c r="D322" s="41" t="s">
        <v>77</v>
      </c>
      <c r="E322" s="79">
        <v>3300</v>
      </c>
      <c r="F322" s="79"/>
      <c r="G322" s="79">
        <f t="shared" si="177"/>
        <v>3300</v>
      </c>
      <c r="H322" s="79"/>
      <c r="I322" s="79">
        <f t="shared" si="178"/>
        <v>3300</v>
      </c>
      <c r="J322" s="79"/>
      <c r="K322" s="79">
        <f t="shared" si="179"/>
        <v>3300</v>
      </c>
      <c r="L322" s="79"/>
      <c r="M322" s="79">
        <f t="shared" si="180"/>
        <v>3300</v>
      </c>
      <c r="N322" s="79"/>
      <c r="O322" s="79">
        <f t="shared" si="181"/>
        <v>3300</v>
      </c>
      <c r="P322" s="79"/>
      <c r="Q322" s="79">
        <f t="shared" si="182"/>
        <v>3300</v>
      </c>
      <c r="R322" s="79"/>
      <c r="S322" s="79">
        <f t="shared" si="183"/>
        <v>3300</v>
      </c>
    </row>
    <row r="323" spans="1:19" s="26" customFormat="1" ht="22.5">
      <c r="A323" s="66"/>
      <c r="B323" s="85"/>
      <c r="C323" s="84">
        <v>4440</v>
      </c>
      <c r="D323" s="41" t="s">
        <v>86</v>
      </c>
      <c r="E323" s="79">
        <v>5575</v>
      </c>
      <c r="F323" s="79"/>
      <c r="G323" s="79">
        <f t="shared" si="177"/>
        <v>5575</v>
      </c>
      <c r="H323" s="79"/>
      <c r="I323" s="79">
        <f t="shared" si="178"/>
        <v>5575</v>
      </c>
      <c r="J323" s="79"/>
      <c r="K323" s="79">
        <f t="shared" si="179"/>
        <v>5575</v>
      </c>
      <c r="L323" s="79"/>
      <c r="M323" s="79">
        <f t="shared" si="180"/>
        <v>5575</v>
      </c>
      <c r="N323" s="79"/>
      <c r="O323" s="79">
        <f t="shared" si="181"/>
        <v>5575</v>
      </c>
      <c r="P323" s="79"/>
      <c r="Q323" s="79">
        <f t="shared" si="182"/>
        <v>5575</v>
      </c>
      <c r="R323" s="79"/>
      <c r="S323" s="79">
        <f t="shared" si="183"/>
        <v>5575</v>
      </c>
    </row>
    <row r="324" spans="1:19" s="26" customFormat="1" ht="21" customHeight="1">
      <c r="A324" s="66"/>
      <c r="B324" s="80">
        <v>80195</v>
      </c>
      <c r="C324" s="66"/>
      <c r="D324" s="41" t="s">
        <v>6</v>
      </c>
      <c r="E324" s="79">
        <f aca="true" t="shared" si="184" ref="E324:K324">SUM(E325:E328)</f>
        <v>203927</v>
      </c>
      <c r="F324" s="79">
        <f t="shared" si="184"/>
        <v>0</v>
      </c>
      <c r="G324" s="79">
        <f t="shared" si="184"/>
        <v>203927</v>
      </c>
      <c r="H324" s="79">
        <f t="shared" si="184"/>
        <v>0</v>
      </c>
      <c r="I324" s="79">
        <f t="shared" si="184"/>
        <v>203927</v>
      </c>
      <c r="J324" s="79">
        <f t="shared" si="184"/>
        <v>0</v>
      </c>
      <c r="K324" s="79">
        <f t="shared" si="184"/>
        <v>203927</v>
      </c>
      <c r="L324" s="79">
        <f aca="true" t="shared" si="185" ref="L324:Q324">SUM(L325:L328)</f>
        <v>0</v>
      </c>
      <c r="M324" s="79">
        <f t="shared" si="185"/>
        <v>203927</v>
      </c>
      <c r="N324" s="79">
        <f t="shared" si="185"/>
        <v>0</v>
      </c>
      <c r="O324" s="79">
        <f t="shared" si="185"/>
        <v>203927</v>
      </c>
      <c r="P324" s="79">
        <f t="shared" si="185"/>
        <v>0</v>
      </c>
      <c r="Q324" s="79">
        <f t="shared" si="185"/>
        <v>203927</v>
      </c>
      <c r="R324" s="79">
        <f>SUM(R325:R328)</f>
        <v>0</v>
      </c>
      <c r="S324" s="79">
        <f>SUM(S325:S328)</f>
        <v>203927</v>
      </c>
    </row>
    <row r="325" spans="1:19" s="26" customFormat="1" ht="21" customHeight="1">
      <c r="A325" s="66"/>
      <c r="B325" s="80"/>
      <c r="C325" s="66">
        <v>4170</v>
      </c>
      <c r="D325" s="41" t="s">
        <v>193</v>
      </c>
      <c r="E325" s="79">
        <v>600</v>
      </c>
      <c r="F325" s="79"/>
      <c r="G325" s="79">
        <f>SUM(E325:F325)</f>
        <v>600</v>
      </c>
      <c r="H325" s="79"/>
      <c r="I325" s="79">
        <f>SUM(G325:H325)</f>
        <v>600</v>
      </c>
      <c r="J325" s="79"/>
      <c r="K325" s="79">
        <f>SUM(I325:J325)</f>
        <v>600</v>
      </c>
      <c r="L325" s="79"/>
      <c r="M325" s="79">
        <f>SUM(K325:L325)</f>
        <v>600</v>
      </c>
      <c r="N325" s="79"/>
      <c r="O325" s="79">
        <f>SUM(M325:N325)</f>
        <v>600</v>
      </c>
      <c r="P325" s="79"/>
      <c r="Q325" s="79">
        <f>SUM(O325:P325)</f>
        <v>600</v>
      </c>
      <c r="R325" s="79"/>
      <c r="S325" s="79">
        <f>SUM(Q325:R325)</f>
        <v>600</v>
      </c>
    </row>
    <row r="326" spans="1:19" s="26" customFormat="1" ht="21" customHeight="1">
      <c r="A326" s="66"/>
      <c r="B326" s="80"/>
      <c r="C326" s="66">
        <v>4210</v>
      </c>
      <c r="D326" s="41" t="s">
        <v>70</v>
      </c>
      <c r="E326" s="79">
        <v>1400</v>
      </c>
      <c r="F326" s="79"/>
      <c r="G326" s="79">
        <f>SUM(E326:F326)</f>
        <v>1400</v>
      </c>
      <c r="H326" s="79"/>
      <c r="I326" s="79">
        <f>SUM(G326:H326)</f>
        <v>1400</v>
      </c>
      <c r="J326" s="79"/>
      <c r="K326" s="79">
        <f>SUM(I326:J326)</f>
        <v>1400</v>
      </c>
      <c r="L326" s="79"/>
      <c r="M326" s="79">
        <f>SUM(K326:L326)</f>
        <v>1400</v>
      </c>
      <c r="N326" s="79"/>
      <c r="O326" s="79">
        <f>SUM(M326:N326)</f>
        <v>1400</v>
      </c>
      <c r="P326" s="79"/>
      <c r="Q326" s="79">
        <f>SUM(O326:P326)</f>
        <v>1400</v>
      </c>
      <c r="R326" s="79"/>
      <c r="S326" s="79">
        <f>SUM(Q326:R326)</f>
        <v>1400</v>
      </c>
    </row>
    <row r="327" spans="1:19" s="26" customFormat="1" ht="21" customHeight="1">
      <c r="A327" s="66"/>
      <c r="B327" s="80"/>
      <c r="C327" s="66">
        <v>4430</v>
      </c>
      <c r="D327" s="41" t="s">
        <v>271</v>
      </c>
      <c r="E327" s="79">
        <v>1500</v>
      </c>
      <c r="F327" s="79"/>
      <c r="G327" s="79">
        <f>SUM(E327:F327)</f>
        <v>1500</v>
      </c>
      <c r="H327" s="79"/>
      <c r="I327" s="79">
        <f>SUM(G327:H327)</f>
        <v>1500</v>
      </c>
      <c r="J327" s="79"/>
      <c r="K327" s="79">
        <f>SUM(I327:J327)</f>
        <v>1500</v>
      </c>
      <c r="L327" s="79"/>
      <c r="M327" s="79">
        <f>SUM(K327:L327)</f>
        <v>1500</v>
      </c>
      <c r="N327" s="79"/>
      <c r="O327" s="79">
        <f>SUM(M327:N327)</f>
        <v>1500</v>
      </c>
      <c r="P327" s="79"/>
      <c r="Q327" s="79">
        <f>SUM(O327:P327)</f>
        <v>1500</v>
      </c>
      <c r="R327" s="79"/>
      <c r="S327" s="79">
        <f>SUM(Q327:R327)</f>
        <v>1500</v>
      </c>
    </row>
    <row r="328" spans="1:19" s="26" customFormat="1" ht="22.5">
      <c r="A328" s="66"/>
      <c r="B328" s="80"/>
      <c r="C328" s="66">
        <v>4440</v>
      </c>
      <c r="D328" s="41" t="s">
        <v>86</v>
      </c>
      <c r="E328" s="79">
        <v>200427</v>
      </c>
      <c r="F328" s="79"/>
      <c r="G328" s="79">
        <f>SUM(E328:F328)</f>
        <v>200427</v>
      </c>
      <c r="H328" s="79"/>
      <c r="I328" s="79">
        <f>SUM(G328:H328)</f>
        <v>200427</v>
      </c>
      <c r="J328" s="79"/>
      <c r="K328" s="79">
        <f>SUM(I328:J328)</f>
        <v>200427</v>
      </c>
      <c r="L328" s="79"/>
      <c r="M328" s="79">
        <f>SUM(K328:L328)</f>
        <v>200427</v>
      </c>
      <c r="N328" s="79"/>
      <c r="O328" s="79">
        <f>SUM(M328:N328)</f>
        <v>200427</v>
      </c>
      <c r="P328" s="79"/>
      <c r="Q328" s="79">
        <f>SUM(O328:P328)</f>
        <v>200427</v>
      </c>
      <c r="R328" s="79"/>
      <c r="S328" s="79">
        <f>SUM(Q328:R328)</f>
        <v>200427</v>
      </c>
    </row>
    <row r="329" spans="1:19" s="8" customFormat="1" ht="21" customHeight="1">
      <c r="A329" s="36" t="s">
        <v>116</v>
      </c>
      <c r="B329" s="37"/>
      <c r="C329" s="38"/>
      <c r="D329" s="39" t="s">
        <v>53</v>
      </c>
      <c r="E329" s="40">
        <f aca="true" t="shared" si="186" ref="E329:K329">SUM(E335,E345,E330)</f>
        <v>126903</v>
      </c>
      <c r="F329" s="40">
        <f t="shared" si="186"/>
        <v>-3532</v>
      </c>
      <c r="G329" s="40">
        <f t="shared" si="186"/>
        <v>123371</v>
      </c>
      <c r="H329" s="40">
        <f t="shared" si="186"/>
        <v>0</v>
      </c>
      <c r="I329" s="40">
        <f t="shared" si="186"/>
        <v>123371</v>
      </c>
      <c r="J329" s="40">
        <f t="shared" si="186"/>
        <v>0</v>
      </c>
      <c r="K329" s="40">
        <f t="shared" si="186"/>
        <v>123371</v>
      </c>
      <c r="L329" s="40">
        <f aca="true" t="shared" si="187" ref="L329:Q329">SUM(L335,L345,L330)</f>
        <v>55495</v>
      </c>
      <c r="M329" s="40">
        <f t="shared" si="187"/>
        <v>178866</v>
      </c>
      <c r="N329" s="40">
        <f t="shared" si="187"/>
        <v>0</v>
      </c>
      <c r="O329" s="40">
        <f t="shared" si="187"/>
        <v>178866</v>
      </c>
      <c r="P329" s="40">
        <f t="shared" si="187"/>
        <v>0</v>
      </c>
      <c r="Q329" s="40">
        <f t="shared" si="187"/>
        <v>178866</v>
      </c>
      <c r="R329" s="40">
        <f>SUM(R335,R345,R330)</f>
        <v>0</v>
      </c>
      <c r="S329" s="40">
        <f>SUM(S335,S345,S330)</f>
        <v>178866</v>
      </c>
    </row>
    <row r="330" spans="1:19" s="8" customFormat="1" ht="21" customHeight="1">
      <c r="A330" s="36"/>
      <c r="B330" s="85">
        <v>85153</v>
      </c>
      <c r="C330" s="84"/>
      <c r="D330" s="41" t="s">
        <v>216</v>
      </c>
      <c r="E330" s="79">
        <f aca="true" t="shared" si="188" ref="E330:K330">SUM(E331:E334)</f>
        <v>18500</v>
      </c>
      <c r="F330" s="79">
        <f t="shared" si="188"/>
        <v>-1766</v>
      </c>
      <c r="G330" s="79">
        <f t="shared" si="188"/>
        <v>16734</v>
      </c>
      <c r="H330" s="79">
        <f t="shared" si="188"/>
        <v>0</v>
      </c>
      <c r="I330" s="79">
        <f t="shared" si="188"/>
        <v>16734</v>
      </c>
      <c r="J330" s="79">
        <f t="shared" si="188"/>
        <v>0</v>
      </c>
      <c r="K330" s="79">
        <f t="shared" si="188"/>
        <v>16734</v>
      </c>
      <c r="L330" s="79">
        <f aca="true" t="shared" si="189" ref="L330:Q330">SUM(L331:L334)</f>
        <v>0</v>
      </c>
      <c r="M330" s="79">
        <f t="shared" si="189"/>
        <v>16734</v>
      </c>
      <c r="N330" s="79">
        <f t="shared" si="189"/>
        <v>0</v>
      </c>
      <c r="O330" s="79">
        <f t="shared" si="189"/>
        <v>16734</v>
      </c>
      <c r="P330" s="79">
        <f t="shared" si="189"/>
        <v>0</v>
      </c>
      <c r="Q330" s="79">
        <f t="shared" si="189"/>
        <v>16734</v>
      </c>
      <c r="R330" s="79">
        <f>SUM(R331:R334)</f>
        <v>0</v>
      </c>
      <c r="S330" s="79">
        <f>SUM(S331:S334)</f>
        <v>16734</v>
      </c>
    </row>
    <row r="331" spans="1:19" s="8" customFormat="1" ht="21" customHeight="1">
      <c r="A331" s="36"/>
      <c r="B331" s="85"/>
      <c r="C331" s="84">
        <v>4170</v>
      </c>
      <c r="D331" s="41" t="s">
        <v>193</v>
      </c>
      <c r="E331" s="79">
        <v>1500</v>
      </c>
      <c r="F331" s="79"/>
      <c r="G331" s="79">
        <f>SUM(E331:F331)</f>
        <v>1500</v>
      </c>
      <c r="H331" s="79"/>
      <c r="I331" s="79">
        <f>SUM(G331:H331)</f>
        <v>1500</v>
      </c>
      <c r="J331" s="79"/>
      <c r="K331" s="79">
        <f>SUM(I331:J331)</f>
        <v>1500</v>
      </c>
      <c r="L331" s="79"/>
      <c r="M331" s="79">
        <f>SUM(K331:L331)</f>
        <v>1500</v>
      </c>
      <c r="N331" s="79"/>
      <c r="O331" s="79">
        <f>SUM(M331:N331)</f>
        <v>1500</v>
      </c>
      <c r="P331" s="79"/>
      <c r="Q331" s="79">
        <f>SUM(O331:P331)</f>
        <v>1500</v>
      </c>
      <c r="R331" s="79"/>
      <c r="S331" s="79">
        <f>SUM(Q331:R331)</f>
        <v>1500</v>
      </c>
    </row>
    <row r="332" spans="1:19" s="8" customFormat="1" ht="21" customHeight="1">
      <c r="A332" s="36"/>
      <c r="B332" s="85"/>
      <c r="C332" s="84">
        <v>4210</v>
      </c>
      <c r="D332" s="14" t="s">
        <v>90</v>
      </c>
      <c r="E332" s="79">
        <v>7500</v>
      </c>
      <c r="F332" s="79"/>
      <c r="G332" s="79">
        <f>SUM(E332:F332)</f>
        <v>7500</v>
      </c>
      <c r="H332" s="79"/>
      <c r="I332" s="79">
        <f>SUM(G332:H332)</f>
        <v>7500</v>
      </c>
      <c r="J332" s="79"/>
      <c r="K332" s="79">
        <f>SUM(I332:J332)</f>
        <v>7500</v>
      </c>
      <c r="L332" s="79"/>
      <c r="M332" s="79">
        <f>SUM(K332:L332)</f>
        <v>7500</v>
      </c>
      <c r="N332" s="79"/>
      <c r="O332" s="79">
        <f>SUM(M332:N332)</f>
        <v>7500</v>
      </c>
      <c r="P332" s="79"/>
      <c r="Q332" s="79">
        <f>SUM(O332:P332)</f>
        <v>7500</v>
      </c>
      <c r="R332" s="79"/>
      <c r="S332" s="79">
        <f>SUM(Q332:R332)</f>
        <v>7500</v>
      </c>
    </row>
    <row r="333" spans="1:19" s="8" customFormat="1" ht="21" customHeight="1">
      <c r="A333" s="36"/>
      <c r="B333" s="85"/>
      <c r="C333" s="84">
        <v>4220</v>
      </c>
      <c r="D333" s="14" t="s">
        <v>178</v>
      </c>
      <c r="E333" s="79">
        <v>500</v>
      </c>
      <c r="F333" s="79"/>
      <c r="G333" s="79">
        <f>SUM(E333:F333)</f>
        <v>500</v>
      </c>
      <c r="H333" s="79"/>
      <c r="I333" s="79">
        <f>SUM(G333:H333)</f>
        <v>500</v>
      </c>
      <c r="J333" s="79"/>
      <c r="K333" s="79">
        <f>SUM(I333:J333)</f>
        <v>500</v>
      </c>
      <c r="L333" s="79"/>
      <c r="M333" s="79">
        <f>SUM(K333:L333)</f>
        <v>500</v>
      </c>
      <c r="N333" s="79"/>
      <c r="O333" s="79">
        <f>SUM(M333:N333)</f>
        <v>500</v>
      </c>
      <c r="P333" s="79"/>
      <c r="Q333" s="79">
        <f>SUM(O333:P333)</f>
        <v>500</v>
      </c>
      <c r="R333" s="79"/>
      <c r="S333" s="79">
        <f>SUM(Q333:R333)</f>
        <v>500</v>
      </c>
    </row>
    <row r="334" spans="1:19" s="8" customFormat="1" ht="21" customHeight="1">
      <c r="A334" s="36"/>
      <c r="B334" s="85"/>
      <c r="C334" s="84">
        <v>4300</v>
      </c>
      <c r="D334" s="41" t="s">
        <v>77</v>
      </c>
      <c r="E334" s="79">
        <v>9000</v>
      </c>
      <c r="F334" s="79">
        <v>-1766</v>
      </c>
      <c r="G334" s="79">
        <f>SUM(E334:F334)</f>
        <v>7234</v>
      </c>
      <c r="H334" s="79"/>
      <c r="I334" s="79">
        <f>SUM(G334:H334)</f>
        <v>7234</v>
      </c>
      <c r="J334" s="79"/>
      <c r="K334" s="79">
        <f>SUM(I334:J334)</f>
        <v>7234</v>
      </c>
      <c r="L334" s="79"/>
      <c r="M334" s="79">
        <f>SUM(K334:L334)</f>
        <v>7234</v>
      </c>
      <c r="N334" s="79"/>
      <c r="O334" s="79">
        <f>SUM(M334:N334)</f>
        <v>7234</v>
      </c>
      <c r="P334" s="79"/>
      <c r="Q334" s="79">
        <f>SUM(O334:P334)</f>
        <v>7234</v>
      </c>
      <c r="R334" s="79"/>
      <c r="S334" s="79">
        <f>SUM(Q334:R334)</f>
        <v>7234</v>
      </c>
    </row>
    <row r="335" spans="1:19" s="26" customFormat="1" ht="21" customHeight="1">
      <c r="A335" s="66"/>
      <c r="B335" s="80" t="s">
        <v>117</v>
      </c>
      <c r="C335" s="84"/>
      <c r="D335" s="41" t="s">
        <v>54</v>
      </c>
      <c r="E335" s="79">
        <f aca="true" t="shared" si="190" ref="E335:J335">SUM(E338:E344)</f>
        <v>98403</v>
      </c>
      <c r="F335" s="79">
        <f t="shared" si="190"/>
        <v>-1766</v>
      </c>
      <c r="G335" s="79">
        <f t="shared" si="190"/>
        <v>96637</v>
      </c>
      <c r="H335" s="79">
        <f t="shared" si="190"/>
        <v>0</v>
      </c>
      <c r="I335" s="79">
        <f t="shared" si="190"/>
        <v>96637</v>
      </c>
      <c r="J335" s="79">
        <f t="shared" si="190"/>
        <v>0</v>
      </c>
      <c r="K335" s="79">
        <f aca="true" t="shared" si="191" ref="K335:Q335">SUM(K336:K344)</f>
        <v>96637</v>
      </c>
      <c r="L335" s="79">
        <f t="shared" si="191"/>
        <v>55495</v>
      </c>
      <c r="M335" s="79">
        <f t="shared" si="191"/>
        <v>152132</v>
      </c>
      <c r="N335" s="79">
        <f t="shared" si="191"/>
        <v>0</v>
      </c>
      <c r="O335" s="79">
        <f t="shared" si="191"/>
        <v>152132</v>
      </c>
      <c r="P335" s="79">
        <f t="shared" si="191"/>
        <v>0</v>
      </c>
      <c r="Q335" s="79">
        <f t="shared" si="191"/>
        <v>152132</v>
      </c>
      <c r="R335" s="79">
        <f>SUM(R336:R344)</f>
        <v>0</v>
      </c>
      <c r="S335" s="79">
        <f>SUM(S336:S344)</f>
        <v>152132</v>
      </c>
    </row>
    <row r="336" spans="1:19" s="26" customFormat="1" ht="56.25">
      <c r="A336" s="66"/>
      <c r="B336" s="80"/>
      <c r="C336" s="84">
        <v>2360</v>
      </c>
      <c r="D336" s="41" t="s">
        <v>414</v>
      </c>
      <c r="E336" s="79"/>
      <c r="F336" s="79"/>
      <c r="G336" s="79"/>
      <c r="H336" s="79"/>
      <c r="I336" s="79"/>
      <c r="J336" s="79"/>
      <c r="K336" s="79">
        <v>0</v>
      </c>
      <c r="L336" s="79">
        <v>34495</v>
      </c>
      <c r="M336" s="79">
        <f>SUM(K336:L336)</f>
        <v>34495</v>
      </c>
      <c r="N336" s="79"/>
      <c r="O336" s="79">
        <f>SUM(M336:N336)</f>
        <v>34495</v>
      </c>
      <c r="P336" s="79"/>
      <c r="Q336" s="79">
        <f>SUM(O336:P336)</f>
        <v>34495</v>
      </c>
      <c r="R336" s="79"/>
      <c r="S336" s="79">
        <f>SUM(Q336:R336)</f>
        <v>34495</v>
      </c>
    </row>
    <row r="337" spans="1:19" s="26" customFormat="1" ht="33.75">
      <c r="A337" s="66"/>
      <c r="B337" s="80"/>
      <c r="C337" s="84">
        <v>2710</v>
      </c>
      <c r="D337" s="41" t="s">
        <v>344</v>
      </c>
      <c r="E337" s="79"/>
      <c r="F337" s="79"/>
      <c r="G337" s="79"/>
      <c r="H337" s="79"/>
      <c r="I337" s="79"/>
      <c r="J337" s="79"/>
      <c r="K337" s="79">
        <v>0</v>
      </c>
      <c r="L337" s="79">
        <f>13170+21000</f>
        <v>34170</v>
      </c>
      <c r="M337" s="79">
        <f>SUM(K337:L337)</f>
        <v>34170</v>
      </c>
      <c r="N337" s="79"/>
      <c r="O337" s="79">
        <f>SUM(M337:N337)</f>
        <v>34170</v>
      </c>
      <c r="P337" s="79"/>
      <c r="Q337" s="79">
        <f>SUM(O337:P337)</f>
        <v>34170</v>
      </c>
      <c r="R337" s="79"/>
      <c r="S337" s="79">
        <f>SUM(Q337:R337)</f>
        <v>34170</v>
      </c>
    </row>
    <row r="338" spans="1:19" s="26" customFormat="1" ht="21" customHeight="1">
      <c r="A338" s="66"/>
      <c r="B338" s="85"/>
      <c r="C338" s="84">
        <v>4110</v>
      </c>
      <c r="D338" s="14" t="s">
        <v>84</v>
      </c>
      <c r="E338" s="79">
        <v>1858</v>
      </c>
      <c r="F338" s="79"/>
      <c r="G338" s="79">
        <f>SUM(E338:F338)</f>
        <v>1858</v>
      </c>
      <c r="H338" s="79"/>
      <c r="I338" s="79">
        <f>SUM(G338:H338)</f>
        <v>1858</v>
      </c>
      <c r="J338" s="79"/>
      <c r="K338" s="79">
        <f>SUM(I338:J338)</f>
        <v>1858</v>
      </c>
      <c r="L338" s="79"/>
      <c r="M338" s="79">
        <f>SUM(K338:L338)</f>
        <v>1858</v>
      </c>
      <c r="N338" s="79"/>
      <c r="O338" s="79">
        <f>SUM(M338:N338)</f>
        <v>1858</v>
      </c>
      <c r="P338" s="79"/>
      <c r="Q338" s="79">
        <f>SUM(O338:P338)</f>
        <v>1858</v>
      </c>
      <c r="R338" s="79"/>
      <c r="S338" s="79">
        <f>SUM(Q338:R338)</f>
        <v>1858</v>
      </c>
    </row>
    <row r="339" spans="1:19" s="26" customFormat="1" ht="21" customHeight="1">
      <c r="A339" s="66"/>
      <c r="B339" s="85"/>
      <c r="C339" s="84">
        <v>4170</v>
      </c>
      <c r="D339" s="41" t="s">
        <v>193</v>
      </c>
      <c r="E339" s="79">
        <v>37800</v>
      </c>
      <c r="F339" s="79"/>
      <c r="G339" s="79">
        <f aca="true" t="shared" si="192" ref="G339:G344">SUM(E339:F339)</f>
        <v>37800</v>
      </c>
      <c r="H339" s="79"/>
      <c r="I339" s="79">
        <f aca="true" t="shared" si="193" ref="I339:I344">SUM(G339:H339)</f>
        <v>37800</v>
      </c>
      <c r="J339" s="79"/>
      <c r="K339" s="79">
        <f aca="true" t="shared" si="194" ref="K339:K344">SUM(I339:J339)</f>
        <v>37800</v>
      </c>
      <c r="L339" s="79">
        <v>-2000</v>
      </c>
      <c r="M339" s="79">
        <f aca="true" t="shared" si="195" ref="M339:M344">SUM(K339:L339)</f>
        <v>35800</v>
      </c>
      <c r="N339" s="79"/>
      <c r="O339" s="79">
        <f aca="true" t="shared" si="196" ref="O339:O344">SUM(M339:N339)</f>
        <v>35800</v>
      </c>
      <c r="P339" s="79"/>
      <c r="Q339" s="79">
        <f aca="true" t="shared" si="197" ref="Q339:Q344">SUM(O339:P339)</f>
        <v>35800</v>
      </c>
      <c r="R339" s="79"/>
      <c r="S339" s="79">
        <f aca="true" t="shared" si="198" ref="S339:S344">SUM(Q339:R339)</f>
        <v>35800</v>
      </c>
    </row>
    <row r="340" spans="1:19" s="26" customFormat="1" ht="21" customHeight="1">
      <c r="A340" s="66"/>
      <c r="B340" s="85"/>
      <c r="C340" s="84">
        <v>4210</v>
      </c>
      <c r="D340" s="14" t="s">
        <v>90</v>
      </c>
      <c r="E340" s="79">
        <v>8300</v>
      </c>
      <c r="F340" s="79">
        <v>8645</v>
      </c>
      <c r="G340" s="79">
        <f t="shared" si="192"/>
        <v>16945</v>
      </c>
      <c r="H340" s="79"/>
      <c r="I340" s="79">
        <f t="shared" si="193"/>
        <v>16945</v>
      </c>
      <c r="J340" s="79"/>
      <c r="K340" s="79">
        <f t="shared" si="194"/>
        <v>16945</v>
      </c>
      <c r="L340" s="79">
        <f>-2815-1500-35</f>
        <v>-4350</v>
      </c>
      <c r="M340" s="79">
        <f t="shared" si="195"/>
        <v>12595</v>
      </c>
      <c r="N340" s="79"/>
      <c r="O340" s="79">
        <f t="shared" si="196"/>
        <v>12595</v>
      </c>
      <c r="P340" s="79"/>
      <c r="Q340" s="79">
        <f t="shared" si="197"/>
        <v>12595</v>
      </c>
      <c r="R340" s="79"/>
      <c r="S340" s="79">
        <f t="shared" si="198"/>
        <v>12595</v>
      </c>
    </row>
    <row r="341" spans="1:19" s="26" customFormat="1" ht="21" customHeight="1">
      <c r="A341" s="66"/>
      <c r="B341" s="85"/>
      <c r="C341" s="84">
        <v>4220</v>
      </c>
      <c r="D341" s="14" t="s">
        <v>178</v>
      </c>
      <c r="E341" s="79">
        <v>19000</v>
      </c>
      <c r="F341" s="79"/>
      <c r="G341" s="79">
        <f t="shared" si="192"/>
        <v>19000</v>
      </c>
      <c r="H341" s="79"/>
      <c r="I341" s="79">
        <f t="shared" si="193"/>
        <v>19000</v>
      </c>
      <c r="J341" s="79"/>
      <c r="K341" s="79">
        <f t="shared" si="194"/>
        <v>19000</v>
      </c>
      <c r="L341" s="79"/>
      <c r="M341" s="79">
        <f t="shared" si="195"/>
        <v>19000</v>
      </c>
      <c r="N341" s="79"/>
      <c r="O341" s="79">
        <f t="shared" si="196"/>
        <v>19000</v>
      </c>
      <c r="P341" s="79"/>
      <c r="Q341" s="79">
        <f t="shared" si="197"/>
        <v>19000</v>
      </c>
      <c r="R341" s="79"/>
      <c r="S341" s="79">
        <f t="shared" si="198"/>
        <v>19000</v>
      </c>
    </row>
    <row r="342" spans="1:19" s="26" customFormat="1" ht="21" customHeight="1">
      <c r="A342" s="66"/>
      <c r="B342" s="85"/>
      <c r="C342" s="84">
        <v>4300</v>
      </c>
      <c r="D342" s="41" t="s">
        <v>77</v>
      </c>
      <c r="E342" s="79">
        <v>28645</v>
      </c>
      <c r="F342" s="79">
        <f>-8645-1766</f>
        <v>-10411</v>
      </c>
      <c r="G342" s="79">
        <f t="shared" si="192"/>
        <v>18234</v>
      </c>
      <c r="H342" s="79"/>
      <c r="I342" s="79">
        <f t="shared" si="193"/>
        <v>18234</v>
      </c>
      <c r="J342" s="79"/>
      <c r="K342" s="79">
        <f t="shared" si="194"/>
        <v>18234</v>
      </c>
      <c r="L342" s="79">
        <f>-2000-1000-3820</f>
        <v>-6820</v>
      </c>
      <c r="M342" s="79">
        <f t="shared" si="195"/>
        <v>11414</v>
      </c>
      <c r="N342" s="79"/>
      <c r="O342" s="79">
        <f t="shared" si="196"/>
        <v>11414</v>
      </c>
      <c r="P342" s="79"/>
      <c r="Q342" s="79">
        <f t="shared" si="197"/>
        <v>11414</v>
      </c>
      <c r="R342" s="79"/>
      <c r="S342" s="79">
        <f t="shared" si="198"/>
        <v>11414</v>
      </c>
    </row>
    <row r="343" spans="1:19" s="26" customFormat="1" ht="21" customHeight="1">
      <c r="A343" s="66"/>
      <c r="B343" s="85"/>
      <c r="C343" s="84">
        <v>4350</v>
      </c>
      <c r="D343" s="41" t="s">
        <v>204</v>
      </c>
      <c r="E343" s="79">
        <v>1300</v>
      </c>
      <c r="F343" s="79"/>
      <c r="G343" s="79">
        <f t="shared" si="192"/>
        <v>1300</v>
      </c>
      <c r="H343" s="79"/>
      <c r="I343" s="79">
        <f t="shared" si="193"/>
        <v>1300</v>
      </c>
      <c r="J343" s="79"/>
      <c r="K343" s="79">
        <f t="shared" si="194"/>
        <v>1300</v>
      </c>
      <c r="L343" s="79"/>
      <c r="M343" s="79">
        <f t="shared" si="195"/>
        <v>1300</v>
      </c>
      <c r="N343" s="79"/>
      <c r="O343" s="79">
        <f t="shared" si="196"/>
        <v>1300</v>
      </c>
      <c r="P343" s="79"/>
      <c r="Q343" s="79">
        <f t="shared" si="197"/>
        <v>1300</v>
      </c>
      <c r="R343" s="79"/>
      <c r="S343" s="79">
        <f t="shared" si="198"/>
        <v>1300</v>
      </c>
    </row>
    <row r="344" spans="1:19" s="26" customFormat="1" ht="21" customHeight="1">
      <c r="A344" s="66"/>
      <c r="B344" s="85"/>
      <c r="C344" s="84">
        <v>4410</v>
      </c>
      <c r="D344" s="41" t="s">
        <v>88</v>
      </c>
      <c r="E344" s="79">
        <v>1500</v>
      </c>
      <c r="F344" s="79"/>
      <c r="G344" s="79">
        <f t="shared" si="192"/>
        <v>1500</v>
      </c>
      <c r="H344" s="79"/>
      <c r="I344" s="79">
        <f t="shared" si="193"/>
        <v>1500</v>
      </c>
      <c r="J344" s="79"/>
      <c r="K344" s="79">
        <f t="shared" si="194"/>
        <v>1500</v>
      </c>
      <c r="L344" s="79"/>
      <c r="M344" s="79">
        <f t="shared" si="195"/>
        <v>1500</v>
      </c>
      <c r="N344" s="79"/>
      <c r="O344" s="79">
        <f t="shared" si="196"/>
        <v>1500</v>
      </c>
      <c r="P344" s="79"/>
      <c r="Q344" s="79">
        <f t="shared" si="197"/>
        <v>1500</v>
      </c>
      <c r="R344" s="79"/>
      <c r="S344" s="79">
        <f t="shared" si="198"/>
        <v>1500</v>
      </c>
    </row>
    <row r="345" spans="1:19" s="26" customFormat="1" ht="21" customHeight="1">
      <c r="A345" s="66"/>
      <c r="B345" s="85">
        <v>85195</v>
      </c>
      <c r="C345" s="84"/>
      <c r="D345" s="41" t="s">
        <v>6</v>
      </c>
      <c r="E345" s="79">
        <f aca="true" t="shared" si="199" ref="E345:S345">SUM(E346)</f>
        <v>10000</v>
      </c>
      <c r="F345" s="79">
        <f t="shared" si="199"/>
        <v>0</v>
      </c>
      <c r="G345" s="79">
        <f t="shared" si="199"/>
        <v>10000</v>
      </c>
      <c r="H345" s="79">
        <f t="shared" si="199"/>
        <v>0</v>
      </c>
      <c r="I345" s="79">
        <f t="shared" si="199"/>
        <v>10000</v>
      </c>
      <c r="J345" s="79">
        <f t="shared" si="199"/>
        <v>0</v>
      </c>
      <c r="K345" s="79">
        <f t="shared" si="199"/>
        <v>10000</v>
      </c>
      <c r="L345" s="79">
        <f t="shared" si="199"/>
        <v>0</v>
      </c>
      <c r="M345" s="79">
        <f t="shared" si="199"/>
        <v>10000</v>
      </c>
      <c r="N345" s="79">
        <f t="shared" si="199"/>
        <v>0</v>
      </c>
      <c r="O345" s="79">
        <f t="shared" si="199"/>
        <v>10000</v>
      </c>
      <c r="P345" s="79">
        <f t="shared" si="199"/>
        <v>0</v>
      </c>
      <c r="Q345" s="79">
        <f t="shared" si="199"/>
        <v>10000</v>
      </c>
      <c r="R345" s="79">
        <f t="shared" si="199"/>
        <v>0</v>
      </c>
      <c r="S345" s="79">
        <f t="shared" si="199"/>
        <v>10000</v>
      </c>
    </row>
    <row r="346" spans="1:19" s="26" customFormat="1" ht="21" customHeight="1">
      <c r="A346" s="66"/>
      <c r="B346" s="85"/>
      <c r="C346" s="84">
        <v>4430</v>
      </c>
      <c r="D346" s="41" t="s">
        <v>92</v>
      </c>
      <c r="E346" s="79">
        <v>10000</v>
      </c>
      <c r="F346" s="79"/>
      <c r="G346" s="79">
        <f>SUM(E346:F346)</f>
        <v>10000</v>
      </c>
      <c r="H346" s="79"/>
      <c r="I346" s="79">
        <f>SUM(G346:H346)</f>
        <v>10000</v>
      </c>
      <c r="J346" s="79"/>
      <c r="K346" s="79">
        <f>SUM(I346:J346)</f>
        <v>10000</v>
      </c>
      <c r="L346" s="79"/>
      <c r="M346" s="79">
        <f>SUM(K346:L346)</f>
        <v>10000</v>
      </c>
      <c r="N346" s="79"/>
      <c r="O346" s="79">
        <f>SUM(M346:N346)</f>
        <v>10000</v>
      </c>
      <c r="P346" s="79"/>
      <c r="Q346" s="79">
        <f>SUM(O346:P346)</f>
        <v>10000</v>
      </c>
      <c r="R346" s="79"/>
      <c r="S346" s="79">
        <f>SUM(Q346:R346)</f>
        <v>10000</v>
      </c>
    </row>
    <row r="347" spans="1:19" s="8" customFormat="1" ht="24.75" customHeight="1">
      <c r="A347" s="60">
        <v>852</v>
      </c>
      <c r="B347" s="37"/>
      <c r="C347" s="38"/>
      <c r="D347" s="39" t="s">
        <v>185</v>
      </c>
      <c r="E347" s="40">
        <f aca="true" t="shared" si="200" ref="E347:K347">SUM(E348,E369,E371,E374,E379,E402,E404,E377)</f>
        <v>12138676</v>
      </c>
      <c r="F347" s="40">
        <f t="shared" si="200"/>
        <v>593300</v>
      </c>
      <c r="G347" s="40">
        <f t="shared" si="200"/>
        <v>12731976</v>
      </c>
      <c r="H347" s="40">
        <f t="shared" si="200"/>
        <v>10000</v>
      </c>
      <c r="I347" s="40">
        <f t="shared" si="200"/>
        <v>12741976</v>
      </c>
      <c r="J347" s="40">
        <f t="shared" si="200"/>
        <v>3280</v>
      </c>
      <c r="K347" s="40">
        <f t="shared" si="200"/>
        <v>12745256</v>
      </c>
      <c r="L347" s="40">
        <f aca="true" t="shared" si="201" ref="L347:Q347">SUM(L348,L369,L371,L374,L379,L402,L404,L377)</f>
        <v>23630</v>
      </c>
      <c r="M347" s="40">
        <f t="shared" si="201"/>
        <v>12768886</v>
      </c>
      <c r="N347" s="40">
        <f t="shared" si="201"/>
        <v>105062</v>
      </c>
      <c r="O347" s="40">
        <f t="shared" si="201"/>
        <v>12873948</v>
      </c>
      <c r="P347" s="40">
        <f t="shared" si="201"/>
        <v>23213</v>
      </c>
      <c r="Q347" s="40">
        <f t="shared" si="201"/>
        <v>12897161</v>
      </c>
      <c r="R347" s="40">
        <f>SUM(R348,R369,R371,R374,R379,R402,R404,R377)</f>
        <v>417780</v>
      </c>
      <c r="S347" s="40">
        <f>SUM(S348,S369,S371,S374,S379,S402,S404,S377)</f>
        <v>13314941</v>
      </c>
    </row>
    <row r="348" spans="1:19" s="26" customFormat="1" ht="45">
      <c r="A348" s="94"/>
      <c r="B348" s="50">
        <v>85212</v>
      </c>
      <c r="C348" s="77"/>
      <c r="D348" s="75" t="s">
        <v>261</v>
      </c>
      <c r="E348" s="70">
        <f aca="true" t="shared" si="202" ref="E348:K348">SUM(E349:E368)</f>
        <v>7037410</v>
      </c>
      <c r="F348" s="70">
        <f t="shared" si="202"/>
        <v>0</v>
      </c>
      <c r="G348" s="70">
        <f t="shared" si="202"/>
        <v>7037410</v>
      </c>
      <c r="H348" s="70">
        <f t="shared" si="202"/>
        <v>0</v>
      </c>
      <c r="I348" s="70">
        <f t="shared" si="202"/>
        <v>7037410</v>
      </c>
      <c r="J348" s="70">
        <f t="shared" si="202"/>
        <v>0</v>
      </c>
      <c r="K348" s="70">
        <f t="shared" si="202"/>
        <v>7037410</v>
      </c>
      <c r="L348" s="70">
        <f aca="true" t="shared" si="203" ref="L348:Q348">SUM(L349:L368)</f>
        <v>0</v>
      </c>
      <c r="M348" s="70">
        <f t="shared" si="203"/>
        <v>7037410</v>
      </c>
      <c r="N348" s="70">
        <f t="shared" si="203"/>
        <v>0</v>
      </c>
      <c r="O348" s="70">
        <f t="shared" si="203"/>
        <v>7037410</v>
      </c>
      <c r="P348" s="70">
        <f t="shared" si="203"/>
        <v>-18000</v>
      </c>
      <c r="Q348" s="70">
        <f t="shared" si="203"/>
        <v>7019410</v>
      </c>
      <c r="R348" s="70">
        <f>SUM(R349:R368)</f>
        <v>0</v>
      </c>
      <c r="S348" s="70">
        <f>SUM(S349:S368)</f>
        <v>7019410</v>
      </c>
    </row>
    <row r="349" spans="1:19" s="26" customFormat="1" ht="21" customHeight="1">
      <c r="A349" s="94"/>
      <c r="B349" s="50"/>
      <c r="C349" s="77">
        <v>3020</v>
      </c>
      <c r="D349" s="41" t="s">
        <v>190</v>
      </c>
      <c r="E349" s="70">
        <v>1000</v>
      </c>
      <c r="F349" s="70"/>
      <c r="G349" s="70">
        <f>SUM(E349:F349)</f>
        <v>1000</v>
      </c>
      <c r="H349" s="70"/>
      <c r="I349" s="70">
        <f>SUM(G349:H349)</f>
        <v>1000</v>
      </c>
      <c r="J349" s="70"/>
      <c r="K349" s="70">
        <f>SUM(I349:J349)</f>
        <v>1000</v>
      </c>
      <c r="L349" s="70"/>
      <c r="M349" s="70">
        <f>SUM(K349:L349)</f>
        <v>1000</v>
      </c>
      <c r="N349" s="70"/>
      <c r="O349" s="70">
        <f>SUM(M349:N349)</f>
        <v>1000</v>
      </c>
      <c r="P349" s="70"/>
      <c r="Q349" s="70">
        <f>SUM(O349:P349)</f>
        <v>1000</v>
      </c>
      <c r="R349" s="70"/>
      <c r="S349" s="70">
        <f>SUM(Q349:R349)</f>
        <v>1000</v>
      </c>
    </row>
    <row r="350" spans="1:19" s="26" customFormat="1" ht="21" customHeight="1">
      <c r="A350" s="94"/>
      <c r="B350" s="50"/>
      <c r="C350" s="77">
        <v>3110</v>
      </c>
      <c r="D350" s="75" t="s">
        <v>110</v>
      </c>
      <c r="E350" s="70">
        <v>6669960</v>
      </c>
      <c r="F350" s="70"/>
      <c r="G350" s="70">
        <f aca="true" t="shared" si="204" ref="G350:G368">SUM(E350:F350)</f>
        <v>6669960</v>
      </c>
      <c r="H350" s="70"/>
      <c r="I350" s="70">
        <f aca="true" t="shared" si="205" ref="I350:I368">SUM(G350:H350)</f>
        <v>6669960</v>
      </c>
      <c r="J350" s="70"/>
      <c r="K350" s="70">
        <f aca="true" t="shared" si="206" ref="K350:K368">SUM(I350:J350)</f>
        <v>6669960</v>
      </c>
      <c r="L350" s="70"/>
      <c r="M350" s="70">
        <f aca="true" t="shared" si="207" ref="M350:M368">SUM(K350:L350)</f>
        <v>6669960</v>
      </c>
      <c r="N350" s="70"/>
      <c r="O350" s="70">
        <f aca="true" t="shared" si="208" ref="O350:O368">SUM(M350:N350)</f>
        <v>6669960</v>
      </c>
      <c r="P350" s="70">
        <v>-60000</v>
      </c>
      <c r="Q350" s="70">
        <f aca="true" t="shared" si="209" ref="Q350:Q368">SUM(O350:P350)</f>
        <v>6609960</v>
      </c>
      <c r="R350" s="70"/>
      <c r="S350" s="70">
        <f aca="true" t="shared" si="210" ref="S350:S368">SUM(Q350:R350)</f>
        <v>6609960</v>
      </c>
    </row>
    <row r="351" spans="1:19" s="26" customFormat="1" ht="21" customHeight="1">
      <c r="A351" s="94"/>
      <c r="B351" s="50"/>
      <c r="C351" s="50">
        <v>4010</v>
      </c>
      <c r="D351" s="14" t="s">
        <v>82</v>
      </c>
      <c r="E351" s="70">
        <f>158033+36167</f>
        <v>194200</v>
      </c>
      <c r="F351" s="70"/>
      <c r="G351" s="70">
        <f t="shared" si="204"/>
        <v>194200</v>
      </c>
      <c r="H351" s="70"/>
      <c r="I351" s="70">
        <f t="shared" si="205"/>
        <v>194200</v>
      </c>
      <c r="J351" s="70"/>
      <c r="K351" s="70">
        <f t="shared" si="206"/>
        <v>194200</v>
      </c>
      <c r="L351" s="70"/>
      <c r="M351" s="70">
        <f t="shared" si="207"/>
        <v>194200</v>
      </c>
      <c r="N351" s="70"/>
      <c r="O351" s="70">
        <f t="shared" si="208"/>
        <v>194200</v>
      </c>
      <c r="P351" s="70">
        <f>690-18000</f>
        <v>-17310</v>
      </c>
      <c r="Q351" s="70">
        <f t="shared" si="209"/>
        <v>176890</v>
      </c>
      <c r="R351" s="70">
        <v>-1500</v>
      </c>
      <c r="S351" s="70">
        <f t="shared" si="210"/>
        <v>175390</v>
      </c>
    </row>
    <row r="352" spans="1:19" s="26" customFormat="1" ht="21" customHeight="1">
      <c r="A352" s="94"/>
      <c r="B352" s="50"/>
      <c r="C352" s="50">
        <v>4040</v>
      </c>
      <c r="D352" s="14" t="s">
        <v>83</v>
      </c>
      <c r="E352" s="70">
        <v>14100</v>
      </c>
      <c r="F352" s="70"/>
      <c r="G352" s="70">
        <f t="shared" si="204"/>
        <v>14100</v>
      </c>
      <c r="H352" s="70"/>
      <c r="I352" s="70">
        <f t="shared" si="205"/>
        <v>14100</v>
      </c>
      <c r="J352" s="70"/>
      <c r="K352" s="70">
        <f t="shared" si="206"/>
        <v>14100</v>
      </c>
      <c r="L352" s="70"/>
      <c r="M352" s="70">
        <f t="shared" si="207"/>
        <v>14100</v>
      </c>
      <c r="N352" s="70"/>
      <c r="O352" s="70">
        <f t="shared" si="208"/>
        <v>14100</v>
      </c>
      <c r="P352" s="70">
        <v>-690</v>
      </c>
      <c r="Q352" s="70">
        <f t="shared" si="209"/>
        <v>13410</v>
      </c>
      <c r="R352" s="70"/>
      <c r="S352" s="70">
        <f t="shared" si="210"/>
        <v>13410</v>
      </c>
    </row>
    <row r="353" spans="1:19" s="26" customFormat="1" ht="21" customHeight="1">
      <c r="A353" s="94"/>
      <c r="B353" s="50"/>
      <c r="C353" s="50">
        <v>4110</v>
      </c>
      <c r="D353" s="14" t="s">
        <v>84</v>
      </c>
      <c r="E353" s="70">
        <f>50000+26000+6300</f>
        <v>82300</v>
      </c>
      <c r="F353" s="70"/>
      <c r="G353" s="70">
        <f t="shared" si="204"/>
        <v>82300</v>
      </c>
      <c r="H353" s="70"/>
      <c r="I353" s="70">
        <f t="shared" si="205"/>
        <v>82300</v>
      </c>
      <c r="J353" s="70"/>
      <c r="K353" s="70">
        <f t="shared" si="206"/>
        <v>82300</v>
      </c>
      <c r="L353" s="70"/>
      <c r="M353" s="70">
        <f t="shared" si="207"/>
        <v>82300</v>
      </c>
      <c r="N353" s="70"/>
      <c r="O353" s="70">
        <f t="shared" si="208"/>
        <v>82300</v>
      </c>
      <c r="P353" s="70">
        <v>60000</v>
      </c>
      <c r="Q353" s="70">
        <f t="shared" si="209"/>
        <v>142300</v>
      </c>
      <c r="R353" s="70"/>
      <c r="S353" s="70">
        <f t="shared" si="210"/>
        <v>142300</v>
      </c>
    </row>
    <row r="354" spans="1:19" s="26" customFormat="1" ht="21" customHeight="1">
      <c r="A354" s="94"/>
      <c r="B354" s="50"/>
      <c r="C354" s="50">
        <v>4120</v>
      </c>
      <c r="D354" s="14" t="s">
        <v>85</v>
      </c>
      <c r="E354" s="70">
        <f>4200+1100</f>
        <v>5300</v>
      </c>
      <c r="F354" s="70"/>
      <c r="G354" s="70">
        <f t="shared" si="204"/>
        <v>5300</v>
      </c>
      <c r="H354" s="70"/>
      <c r="I354" s="70">
        <f t="shared" si="205"/>
        <v>5300</v>
      </c>
      <c r="J354" s="70"/>
      <c r="K354" s="70">
        <f t="shared" si="206"/>
        <v>5300</v>
      </c>
      <c r="L354" s="70"/>
      <c r="M354" s="70">
        <f t="shared" si="207"/>
        <v>5300</v>
      </c>
      <c r="N354" s="70"/>
      <c r="O354" s="70">
        <f t="shared" si="208"/>
        <v>5300</v>
      </c>
      <c r="P354" s="70"/>
      <c r="Q354" s="70">
        <f t="shared" si="209"/>
        <v>5300</v>
      </c>
      <c r="R354" s="70"/>
      <c r="S354" s="70">
        <f t="shared" si="210"/>
        <v>5300</v>
      </c>
    </row>
    <row r="355" spans="1:19" s="26" customFormat="1" ht="21" customHeight="1">
      <c r="A355" s="94"/>
      <c r="B355" s="76"/>
      <c r="C355" s="50">
        <v>4170</v>
      </c>
      <c r="D355" s="41" t="s">
        <v>193</v>
      </c>
      <c r="E355" s="70">
        <v>3000</v>
      </c>
      <c r="F355" s="70">
        <v>150</v>
      </c>
      <c r="G355" s="70">
        <f t="shared" si="204"/>
        <v>3150</v>
      </c>
      <c r="H355" s="70"/>
      <c r="I355" s="70">
        <f t="shared" si="205"/>
        <v>3150</v>
      </c>
      <c r="J355" s="70"/>
      <c r="K355" s="70">
        <f t="shared" si="206"/>
        <v>3150</v>
      </c>
      <c r="L355" s="70"/>
      <c r="M355" s="70">
        <f t="shared" si="207"/>
        <v>3150</v>
      </c>
      <c r="N355" s="70"/>
      <c r="O355" s="70">
        <f t="shared" si="208"/>
        <v>3150</v>
      </c>
      <c r="P355" s="70"/>
      <c r="Q355" s="70">
        <f t="shared" si="209"/>
        <v>3150</v>
      </c>
      <c r="R355" s="70">
        <v>1500</v>
      </c>
      <c r="S355" s="70">
        <f t="shared" si="210"/>
        <v>4650</v>
      </c>
    </row>
    <row r="356" spans="1:19" s="26" customFormat="1" ht="19.5" customHeight="1">
      <c r="A356" s="94"/>
      <c r="B356" s="76"/>
      <c r="C356" s="50">
        <v>4210</v>
      </c>
      <c r="D356" s="14" t="s">
        <v>90</v>
      </c>
      <c r="E356" s="70">
        <v>15100</v>
      </c>
      <c r="F356" s="70"/>
      <c r="G356" s="70">
        <f t="shared" si="204"/>
        <v>15100</v>
      </c>
      <c r="H356" s="70"/>
      <c r="I356" s="70">
        <f t="shared" si="205"/>
        <v>15100</v>
      </c>
      <c r="J356" s="70"/>
      <c r="K356" s="70">
        <f t="shared" si="206"/>
        <v>15100</v>
      </c>
      <c r="L356" s="70"/>
      <c r="M356" s="70">
        <f t="shared" si="207"/>
        <v>15100</v>
      </c>
      <c r="N356" s="70"/>
      <c r="O356" s="70">
        <f t="shared" si="208"/>
        <v>15100</v>
      </c>
      <c r="P356" s="70"/>
      <c r="Q356" s="70">
        <f t="shared" si="209"/>
        <v>15100</v>
      </c>
      <c r="R356" s="70"/>
      <c r="S356" s="70">
        <f t="shared" si="210"/>
        <v>15100</v>
      </c>
    </row>
    <row r="357" spans="1:19" s="26" customFormat="1" ht="21" customHeight="1">
      <c r="A357" s="94"/>
      <c r="B357" s="76"/>
      <c r="C357" s="50">
        <v>4260</v>
      </c>
      <c r="D357" s="41" t="s">
        <v>93</v>
      </c>
      <c r="E357" s="70">
        <v>19000</v>
      </c>
      <c r="F357" s="70"/>
      <c r="G357" s="70">
        <f t="shared" si="204"/>
        <v>19000</v>
      </c>
      <c r="H357" s="70"/>
      <c r="I357" s="70">
        <f t="shared" si="205"/>
        <v>19000</v>
      </c>
      <c r="J357" s="70"/>
      <c r="K357" s="70">
        <f t="shared" si="206"/>
        <v>19000</v>
      </c>
      <c r="L357" s="70"/>
      <c r="M357" s="70">
        <f t="shared" si="207"/>
        <v>19000</v>
      </c>
      <c r="N357" s="70">
        <v>-4200</v>
      </c>
      <c r="O357" s="70">
        <f t="shared" si="208"/>
        <v>14800</v>
      </c>
      <c r="P357" s="70"/>
      <c r="Q357" s="70">
        <f t="shared" si="209"/>
        <v>14800</v>
      </c>
      <c r="R357" s="70"/>
      <c r="S357" s="70">
        <f t="shared" si="210"/>
        <v>14800</v>
      </c>
    </row>
    <row r="358" spans="1:19" s="26" customFormat="1" ht="21" customHeight="1">
      <c r="A358" s="94"/>
      <c r="B358" s="76"/>
      <c r="C358" s="50">
        <v>4270</v>
      </c>
      <c r="D358" s="41" t="s">
        <v>76</v>
      </c>
      <c r="E358" s="70">
        <v>1000</v>
      </c>
      <c r="F358" s="70"/>
      <c r="G358" s="70">
        <f t="shared" si="204"/>
        <v>1000</v>
      </c>
      <c r="H358" s="70"/>
      <c r="I358" s="70">
        <f t="shared" si="205"/>
        <v>1000</v>
      </c>
      <c r="J358" s="70"/>
      <c r="K358" s="70">
        <f t="shared" si="206"/>
        <v>1000</v>
      </c>
      <c r="L358" s="70"/>
      <c r="M358" s="70">
        <f t="shared" si="207"/>
        <v>1000</v>
      </c>
      <c r="N358" s="70"/>
      <c r="O358" s="70">
        <f t="shared" si="208"/>
        <v>1000</v>
      </c>
      <c r="P358" s="70"/>
      <c r="Q358" s="70">
        <f t="shared" si="209"/>
        <v>1000</v>
      </c>
      <c r="R358" s="70"/>
      <c r="S358" s="70">
        <f t="shared" si="210"/>
        <v>1000</v>
      </c>
    </row>
    <row r="359" spans="1:19" s="26" customFormat="1" ht="21" customHeight="1">
      <c r="A359" s="94"/>
      <c r="B359" s="76"/>
      <c r="C359" s="50">
        <v>4280</v>
      </c>
      <c r="D359" s="41" t="s">
        <v>198</v>
      </c>
      <c r="E359" s="70">
        <v>800</v>
      </c>
      <c r="F359" s="70"/>
      <c r="G359" s="70">
        <f t="shared" si="204"/>
        <v>800</v>
      </c>
      <c r="H359" s="70"/>
      <c r="I359" s="70">
        <f t="shared" si="205"/>
        <v>800</v>
      </c>
      <c r="J359" s="70"/>
      <c r="K359" s="70">
        <f t="shared" si="206"/>
        <v>800</v>
      </c>
      <c r="L359" s="70"/>
      <c r="M359" s="70">
        <f t="shared" si="207"/>
        <v>800</v>
      </c>
      <c r="N359" s="70"/>
      <c r="O359" s="70">
        <f t="shared" si="208"/>
        <v>800</v>
      </c>
      <c r="P359" s="70"/>
      <c r="Q359" s="70">
        <f t="shared" si="209"/>
        <v>800</v>
      </c>
      <c r="R359" s="70"/>
      <c r="S359" s="70">
        <f t="shared" si="210"/>
        <v>800</v>
      </c>
    </row>
    <row r="360" spans="1:19" s="26" customFormat="1" ht="21" customHeight="1">
      <c r="A360" s="94"/>
      <c r="B360" s="76"/>
      <c r="C360" s="50">
        <v>4300</v>
      </c>
      <c r="D360" s="14" t="s">
        <v>77</v>
      </c>
      <c r="E360" s="70">
        <v>9200</v>
      </c>
      <c r="F360" s="70"/>
      <c r="G360" s="70">
        <f t="shared" si="204"/>
        <v>9200</v>
      </c>
      <c r="H360" s="70"/>
      <c r="I360" s="70">
        <f t="shared" si="205"/>
        <v>9200</v>
      </c>
      <c r="J360" s="70"/>
      <c r="K360" s="70">
        <f t="shared" si="206"/>
        <v>9200</v>
      </c>
      <c r="L360" s="70"/>
      <c r="M360" s="70">
        <f t="shared" si="207"/>
        <v>9200</v>
      </c>
      <c r="N360" s="70">
        <v>4000</v>
      </c>
      <c r="O360" s="70">
        <f t="shared" si="208"/>
        <v>13200</v>
      </c>
      <c r="P360" s="70"/>
      <c r="Q360" s="70">
        <f t="shared" si="209"/>
        <v>13200</v>
      </c>
      <c r="R360" s="70"/>
      <c r="S360" s="70">
        <f t="shared" si="210"/>
        <v>13200</v>
      </c>
    </row>
    <row r="361" spans="1:19" s="26" customFormat="1" ht="21" customHeight="1">
      <c r="A361" s="94"/>
      <c r="B361" s="76"/>
      <c r="C361" s="50">
        <v>4350</v>
      </c>
      <c r="D361" s="41" t="s">
        <v>204</v>
      </c>
      <c r="E361" s="70">
        <v>2800</v>
      </c>
      <c r="F361" s="70"/>
      <c r="G361" s="70">
        <f t="shared" si="204"/>
        <v>2800</v>
      </c>
      <c r="H361" s="70"/>
      <c r="I361" s="70">
        <f t="shared" si="205"/>
        <v>2800</v>
      </c>
      <c r="J361" s="70"/>
      <c r="K361" s="70">
        <f t="shared" si="206"/>
        <v>2800</v>
      </c>
      <c r="L361" s="70"/>
      <c r="M361" s="70">
        <f t="shared" si="207"/>
        <v>2800</v>
      </c>
      <c r="N361" s="70"/>
      <c r="O361" s="70">
        <f t="shared" si="208"/>
        <v>2800</v>
      </c>
      <c r="P361" s="70"/>
      <c r="Q361" s="70">
        <f t="shared" si="209"/>
        <v>2800</v>
      </c>
      <c r="R361" s="70"/>
      <c r="S361" s="70">
        <f t="shared" si="210"/>
        <v>2800</v>
      </c>
    </row>
    <row r="362" spans="1:19" s="26" customFormat="1" ht="33.75">
      <c r="A362" s="94"/>
      <c r="B362" s="76"/>
      <c r="C362" s="50">
        <v>4360</v>
      </c>
      <c r="D362" s="41" t="s">
        <v>295</v>
      </c>
      <c r="E362" s="70">
        <v>1200</v>
      </c>
      <c r="F362" s="70"/>
      <c r="G362" s="70">
        <f t="shared" si="204"/>
        <v>1200</v>
      </c>
      <c r="H362" s="70"/>
      <c r="I362" s="70">
        <f t="shared" si="205"/>
        <v>1200</v>
      </c>
      <c r="J362" s="70"/>
      <c r="K362" s="70">
        <f t="shared" si="206"/>
        <v>1200</v>
      </c>
      <c r="L362" s="70"/>
      <c r="M362" s="70">
        <f t="shared" si="207"/>
        <v>1200</v>
      </c>
      <c r="N362" s="70"/>
      <c r="O362" s="70">
        <f t="shared" si="208"/>
        <v>1200</v>
      </c>
      <c r="P362" s="70"/>
      <c r="Q362" s="70">
        <f t="shared" si="209"/>
        <v>1200</v>
      </c>
      <c r="R362" s="70"/>
      <c r="S362" s="70">
        <f t="shared" si="210"/>
        <v>1200</v>
      </c>
    </row>
    <row r="363" spans="1:19" s="26" customFormat="1" ht="33.75">
      <c r="A363" s="94"/>
      <c r="B363" s="76"/>
      <c r="C363" s="50">
        <v>4370</v>
      </c>
      <c r="D363" s="41" t="s">
        <v>294</v>
      </c>
      <c r="E363" s="70">
        <v>3600</v>
      </c>
      <c r="F363" s="70"/>
      <c r="G363" s="70">
        <f t="shared" si="204"/>
        <v>3600</v>
      </c>
      <c r="H363" s="70"/>
      <c r="I363" s="70">
        <f t="shared" si="205"/>
        <v>3600</v>
      </c>
      <c r="J363" s="70"/>
      <c r="K363" s="70">
        <f t="shared" si="206"/>
        <v>3600</v>
      </c>
      <c r="L363" s="70"/>
      <c r="M363" s="70">
        <f t="shared" si="207"/>
        <v>3600</v>
      </c>
      <c r="N363" s="70"/>
      <c r="O363" s="70">
        <f t="shared" si="208"/>
        <v>3600</v>
      </c>
      <c r="P363" s="70"/>
      <c r="Q363" s="70">
        <f t="shared" si="209"/>
        <v>3600</v>
      </c>
      <c r="R363" s="70"/>
      <c r="S363" s="70">
        <f t="shared" si="210"/>
        <v>3600</v>
      </c>
    </row>
    <row r="364" spans="1:19" s="26" customFormat="1" ht="18" customHeight="1">
      <c r="A364" s="94"/>
      <c r="B364" s="76"/>
      <c r="C364" s="50">
        <v>4410</v>
      </c>
      <c r="D364" s="41" t="s">
        <v>88</v>
      </c>
      <c r="E364" s="70">
        <v>3000</v>
      </c>
      <c r="F364" s="70"/>
      <c r="G364" s="70">
        <f t="shared" si="204"/>
        <v>3000</v>
      </c>
      <c r="H364" s="70"/>
      <c r="I364" s="70">
        <f t="shared" si="205"/>
        <v>3000</v>
      </c>
      <c r="J364" s="70"/>
      <c r="K364" s="70">
        <f t="shared" si="206"/>
        <v>3000</v>
      </c>
      <c r="L364" s="70"/>
      <c r="M364" s="70">
        <f t="shared" si="207"/>
        <v>3000</v>
      </c>
      <c r="N364" s="70"/>
      <c r="O364" s="70">
        <f t="shared" si="208"/>
        <v>3000</v>
      </c>
      <c r="P364" s="70"/>
      <c r="Q364" s="70">
        <f t="shared" si="209"/>
        <v>3000</v>
      </c>
      <c r="R364" s="70"/>
      <c r="S364" s="70">
        <f t="shared" si="210"/>
        <v>3000</v>
      </c>
    </row>
    <row r="365" spans="1:19" s="26" customFormat="1" ht="21" customHeight="1">
      <c r="A365" s="94"/>
      <c r="B365" s="76"/>
      <c r="C365" s="50">
        <v>4430</v>
      </c>
      <c r="D365" s="41" t="s">
        <v>92</v>
      </c>
      <c r="E365" s="70">
        <v>1200</v>
      </c>
      <c r="F365" s="70"/>
      <c r="G365" s="70">
        <f t="shared" si="204"/>
        <v>1200</v>
      </c>
      <c r="H365" s="70"/>
      <c r="I365" s="70">
        <f t="shared" si="205"/>
        <v>1200</v>
      </c>
      <c r="J365" s="70"/>
      <c r="K365" s="70">
        <f t="shared" si="206"/>
        <v>1200</v>
      </c>
      <c r="L365" s="70"/>
      <c r="M365" s="70">
        <f t="shared" si="207"/>
        <v>1200</v>
      </c>
      <c r="N365" s="70">
        <v>200</v>
      </c>
      <c r="O365" s="70">
        <f t="shared" si="208"/>
        <v>1400</v>
      </c>
      <c r="P365" s="70"/>
      <c r="Q365" s="70">
        <f t="shared" si="209"/>
        <v>1400</v>
      </c>
      <c r="R365" s="70"/>
      <c r="S365" s="70">
        <f t="shared" si="210"/>
        <v>1400</v>
      </c>
    </row>
    <row r="366" spans="1:19" s="26" customFormat="1" ht="21" customHeight="1">
      <c r="A366" s="94"/>
      <c r="B366" s="76"/>
      <c r="C366" s="50">
        <v>4440</v>
      </c>
      <c r="D366" s="14" t="s">
        <v>86</v>
      </c>
      <c r="E366" s="70">
        <v>5500</v>
      </c>
      <c r="F366" s="70"/>
      <c r="G366" s="70">
        <f t="shared" si="204"/>
        <v>5500</v>
      </c>
      <c r="H366" s="70"/>
      <c r="I366" s="70">
        <f t="shared" si="205"/>
        <v>5500</v>
      </c>
      <c r="J366" s="70"/>
      <c r="K366" s="70">
        <f t="shared" si="206"/>
        <v>5500</v>
      </c>
      <c r="L366" s="70"/>
      <c r="M366" s="70">
        <f t="shared" si="207"/>
        <v>5500</v>
      </c>
      <c r="N366" s="70"/>
      <c r="O366" s="70">
        <f t="shared" si="208"/>
        <v>5500</v>
      </c>
      <c r="P366" s="70"/>
      <c r="Q366" s="70">
        <f t="shared" si="209"/>
        <v>5500</v>
      </c>
      <c r="R366" s="70"/>
      <c r="S366" s="70">
        <f t="shared" si="210"/>
        <v>5500</v>
      </c>
    </row>
    <row r="367" spans="1:19" s="26" customFormat="1" ht="21" customHeight="1">
      <c r="A367" s="94"/>
      <c r="B367" s="76"/>
      <c r="C367" s="50">
        <v>4610</v>
      </c>
      <c r="D367" s="41" t="s">
        <v>180</v>
      </c>
      <c r="E367" s="70">
        <v>2000</v>
      </c>
      <c r="F367" s="70"/>
      <c r="G367" s="70">
        <f t="shared" si="204"/>
        <v>2000</v>
      </c>
      <c r="H367" s="70"/>
      <c r="I367" s="70">
        <f t="shared" si="205"/>
        <v>2000</v>
      </c>
      <c r="J367" s="70"/>
      <c r="K367" s="70">
        <f t="shared" si="206"/>
        <v>2000</v>
      </c>
      <c r="L367" s="70"/>
      <c r="M367" s="70">
        <f t="shared" si="207"/>
        <v>2000</v>
      </c>
      <c r="N367" s="70"/>
      <c r="O367" s="70">
        <f t="shared" si="208"/>
        <v>2000</v>
      </c>
      <c r="P367" s="70"/>
      <c r="Q367" s="70">
        <f t="shared" si="209"/>
        <v>2000</v>
      </c>
      <c r="R367" s="70"/>
      <c r="S367" s="70">
        <f t="shared" si="210"/>
        <v>2000</v>
      </c>
    </row>
    <row r="368" spans="1:19" s="26" customFormat="1" ht="22.5">
      <c r="A368" s="94"/>
      <c r="B368" s="76"/>
      <c r="C368" s="50">
        <v>4700</v>
      </c>
      <c r="D368" s="41" t="s">
        <v>239</v>
      </c>
      <c r="E368" s="70">
        <v>3150</v>
      </c>
      <c r="F368" s="70">
        <v>-150</v>
      </c>
      <c r="G368" s="70">
        <f t="shared" si="204"/>
        <v>3000</v>
      </c>
      <c r="H368" s="70"/>
      <c r="I368" s="70">
        <f t="shared" si="205"/>
        <v>3000</v>
      </c>
      <c r="J368" s="70"/>
      <c r="K368" s="70">
        <f t="shared" si="206"/>
        <v>3000</v>
      </c>
      <c r="L368" s="70"/>
      <c r="M368" s="70">
        <f t="shared" si="207"/>
        <v>3000</v>
      </c>
      <c r="N368" s="70"/>
      <c r="O368" s="70">
        <f t="shared" si="208"/>
        <v>3000</v>
      </c>
      <c r="P368" s="70"/>
      <c r="Q368" s="70">
        <f t="shared" si="209"/>
        <v>3000</v>
      </c>
      <c r="R368" s="70"/>
      <c r="S368" s="70">
        <f t="shared" si="210"/>
        <v>3000</v>
      </c>
    </row>
    <row r="369" spans="1:19" s="26" customFormat="1" ht="56.25">
      <c r="A369" s="66"/>
      <c r="B369" s="85">
        <v>85213</v>
      </c>
      <c r="C369" s="84"/>
      <c r="D369" s="75" t="s">
        <v>260</v>
      </c>
      <c r="E369" s="79">
        <f aca="true" t="shared" si="211" ref="E369:S369">SUM(E370)</f>
        <v>58068</v>
      </c>
      <c r="F369" s="79">
        <f t="shared" si="211"/>
        <v>0</v>
      </c>
      <c r="G369" s="79">
        <f t="shared" si="211"/>
        <v>58068</v>
      </c>
      <c r="H369" s="79">
        <f t="shared" si="211"/>
        <v>0</v>
      </c>
      <c r="I369" s="79">
        <f t="shared" si="211"/>
        <v>58068</v>
      </c>
      <c r="J369" s="79">
        <f t="shared" si="211"/>
        <v>0</v>
      </c>
      <c r="K369" s="79">
        <f t="shared" si="211"/>
        <v>58068</v>
      </c>
      <c r="L369" s="79">
        <f t="shared" si="211"/>
        <v>0</v>
      </c>
      <c r="M369" s="79">
        <f t="shared" si="211"/>
        <v>58068</v>
      </c>
      <c r="N369" s="79">
        <f t="shared" si="211"/>
        <v>9932</v>
      </c>
      <c r="O369" s="79">
        <f t="shared" si="211"/>
        <v>68000</v>
      </c>
      <c r="P369" s="79">
        <f t="shared" si="211"/>
        <v>0</v>
      </c>
      <c r="Q369" s="79">
        <f t="shared" si="211"/>
        <v>68000</v>
      </c>
      <c r="R369" s="79">
        <f t="shared" si="211"/>
        <v>0</v>
      </c>
      <c r="S369" s="79">
        <f t="shared" si="211"/>
        <v>68000</v>
      </c>
    </row>
    <row r="370" spans="1:19" s="26" customFormat="1" ht="21" customHeight="1">
      <c r="A370" s="66"/>
      <c r="B370" s="85"/>
      <c r="C370" s="84">
        <v>4130</v>
      </c>
      <c r="D370" s="41" t="s">
        <v>118</v>
      </c>
      <c r="E370" s="70">
        <f>16068+34939+7061</f>
        <v>58068</v>
      </c>
      <c r="F370" s="70"/>
      <c r="G370" s="70">
        <f>SUM(E370:F370)</f>
        <v>58068</v>
      </c>
      <c r="H370" s="70"/>
      <c r="I370" s="70">
        <f>SUM(G370:H370)</f>
        <v>58068</v>
      </c>
      <c r="J370" s="70"/>
      <c r="K370" s="70">
        <f>SUM(I370:J370)</f>
        <v>58068</v>
      </c>
      <c r="L370" s="70"/>
      <c r="M370" s="70">
        <f>SUM(K370:L370)</f>
        <v>58068</v>
      </c>
      <c r="N370" s="70">
        <v>9932</v>
      </c>
      <c r="O370" s="70">
        <f>SUM(M370:N370)</f>
        <v>68000</v>
      </c>
      <c r="P370" s="70"/>
      <c r="Q370" s="70">
        <f>SUM(O370:P370)</f>
        <v>68000</v>
      </c>
      <c r="R370" s="70"/>
      <c r="S370" s="70">
        <f>SUM(Q370:R370)</f>
        <v>68000</v>
      </c>
    </row>
    <row r="371" spans="1:19" s="26" customFormat="1" ht="22.5">
      <c r="A371" s="66"/>
      <c r="B371" s="80">
        <v>85214</v>
      </c>
      <c r="C371" s="84"/>
      <c r="D371" s="41" t="s">
        <v>215</v>
      </c>
      <c r="E371" s="79">
        <f aca="true" t="shared" si="212" ref="E371:N371">SUM(E372:E372)</f>
        <v>1608470</v>
      </c>
      <c r="F371" s="79">
        <f t="shared" si="212"/>
        <v>0</v>
      </c>
      <c r="G371" s="79">
        <f t="shared" si="212"/>
        <v>1608470</v>
      </c>
      <c r="H371" s="79">
        <f t="shared" si="212"/>
        <v>0</v>
      </c>
      <c r="I371" s="79">
        <f t="shared" si="212"/>
        <v>1608470</v>
      </c>
      <c r="J371" s="79">
        <f t="shared" si="212"/>
        <v>0</v>
      </c>
      <c r="K371" s="79">
        <f t="shared" si="212"/>
        <v>1608470</v>
      </c>
      <c r="L371" s="79">
        <f t="shared" si="212"/>
        <v>0</v>
      </c>
      <c r="M371" s="79">
        <f t="shared" si="212"/>
        <v>1608470</v>
      </c>
      <c r="N371" s="79">
        <f t="shared" si="212"/>
        <v>0</v>
      </c>
      <c r="O371" s="79">
        <f>SUM(O372:O373)</f>
        <v>1608470</v>
      </c>
      <c r="P371" s="79">
        <f>SUM(P372:P373)</f>
        <v>35213</v>
      </c>
      <c r="Q371" s="79">
        <f>SUM(Q372:Q373)</f>
        <v>1643683</v>
      </c>
      <c r="R371" s="79">
        <f>SUM(R372:R373)</f>
        <v>0</v>
      </c>
      <c r="S371" s="79">
        <f>SUM(S372:S373)</f>
        <v>1643683</v>
      </c>
    </row>
    <row r="372" spans="1:19" s="26" customFormat="1" ht="21" customHeight="1">
      <c r="A372" s="66"/>
      <c r="B372" s="80"/>
      <c r="C372" s="84">
        <v>3110</v>
      </c>
      <c r="D372" s="41" t="s">
        <v>110</v>
      </c>
      <c r="E372" s="79">
        <f>758470+950000-100000</f>
        <v>1608470</v>
      </c>
      <c r="F372" s="79"/>
      <c r="G372" s="79">
        <f>SUM(E372:F372)</f>
        <v>1608470</v>
      </c>
      <c r="H372" s="79"/>
      <c r="I372" s="79">
        <f>SUM(G372:H372)</f>
        <v>1608470</v>
      </c>
      <c r="J372" s="79"/>
      <c r="K372" s="79">
        <f>SUM(I372:J372)</f>
        <v>1608470</v>
      </c>
      <c r="L372" s="79"/>
      <c r="M372" s="79">
        <f>SUM(K372:L372)</f>
        <v>1608470</v>
      </c>
      <c r="N372" s="79"/>
      <c r="O372" s="79">
        <f>SUM(M372:N372)</f>
        <v>1608470</v>
      </c>
      <c r="P372" s="79"/>
      <c r="Q372" s="79">
        <f>SUM(O372:P372)</f>
        <v>1608470</v>
      </c>
      <c r="R372" s="79"/>
      <c r="S372" s="79">
        <f>SUM(Q372:R372)</f>
        <v>1608470</v>
      </c>
    </row>
    <row r="373" spans="1:19" s="26" customFormat="1" ht="21" customHeight="1">
      <c r="A373" s="66"/>
      <c r="B373" s="80"/>
      <c r="C373" s="84">
        <v>3119</v>
      </c>
      <c r="D373" s="41" t="s">
        <v>110</v>
      </c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>
        <v>0</v>
      </c>
      <c r="P373" s="79">
        <v>35213</v>
      </c>
      <c r="Q373" s="79">
        <f>SUM(O373:P373)</f>
        <v>35213</v>
      </c>
      <c r="R373" s="79"/>
      <c r="S373" s="79">
        <f>SUM(Q373:R373)</f>
        <v>35213</v>
      </c>
    </row>
    <row r="374" spans="1:19" s="26" customFormat="1" ht="21" customHeight="1">
      <c r="A374" s="66"/>
      <c r="B374" s="80">
        <v>85215</v>
      </c>
      <c r="C374" s="84"/>
      <c r="D374" s="41" t="s">
        <v>56</v>
      </c>
      <c r="E374" s="79">
        <f aca="true" t="shared" si="213" ref="E374:J374">SUM(E375)</f>
        <v>1020000</v>
      </c>
      <c r="F374" s="79">
        <f t="shared" si="213"/>
        <v>0</v>
      </c>
      <c r="G374" s="79">
        <f t="shared" si="213"/>
        <v>1020000</v>
      </c>
      <c r="H374" s="79">
        <f t="shared" si="213"/>
        <v>0</v>
      </c>
      <c r="I374" s="79">
        <f t="shared" si="213"/>
        <v>1020000</v>
      </c>
      <c r="J374" s="79">
        <f t="shared" si="213"/>
        <v>0</v>
      </c>
      <c r="K374" s="79">
        <f aca="true" t="shared" si="214" ref="K374:Q374">SUM(K375:K376)</f>
        <v>1020000</v>
      </c>
      <c r="L374" s="79">
        <f t="shared" si="214"/>
        <v>0</v>
      </c>
      <c r="M374" s="79">
        <f t="shared" si="214"/>
        <v>1020000</v>
      </c>
      <c r="N374" s="79">
        <f t="shared" si="214"/>
        <v>0</v>
      </c>
      <c r="O374" s="79">
        <f t="shared" si="214"/>
        <v>1020000</v>
      </c>
      <c r="P374" s="79">
        <f t="shared" si="214"/>
        <v>0</v>
      </c>
      <c r="Q374" s="79">
        <f t="shared" si="214"/>
        <v>1020000</v>
      </c>
      <c r="R374" s="79">
        <f>SUM(R375:R376)</f>
        <v>0</v>
      </c>
      <c r="S374" s="79">
        <f>SUM(S375:S376)</f>
        <v>1020000</v>
      </c>
    </row>
    <row r="375" spans="1:19" s="26" customFormat="1" ht="21" customHeight="1">
      <c r="A375" s="66"/>
      <c r="B375" s="80"/>
      <c r="C375" s="84">
        <v>3110</v>
      </c>
      <c r="D375" s="41" t="s">
        <v>110</v>
      </c>
      <c r="E375" s="79">
        <v>1020000</v>
      </c>
      <c r="F375" s="79"/>
      <c r="G375" s="79">
        <f>SUM(E375:F375)</f>
        <v>1020000</v>
      </c>
      <c r="H375" s="79"/>
      <c r="I375" s="79">
        <f>SUM(G375:H375)</f>
        <v>1020000</v>
      </c>
      <c r="J375" s="79"/>
      <c r="K375" s="79">
        <f>SUM(I375:J375)</f>
        <v>1020000</v>
      </c>
      <c r="L375" s="79">
        <v>-45</v>
      </c>
      <c r="M375" s="79">
        <f>SUM(K375:L375)</f>
        <v>1019955</v>
      </c>
      <c r="N375" s="79"/>
      <c r="O375" s="79">
        <f>SUM(M375:N375)</f>
        <v>1019955</v>
      </c>
      <c r="P375" s="79"/>
      <c r="Q375" s="79">
        <f>SUM(O375:P375)</f>
        <v>1019955</v>
      </c>
      <c r="R375" s="79"/>
      <c r="S375" s="79">
        <f>SUM(Q375:R375)</f>
        <v>1019955</v>
      </c>
    </row>
    <row r="376" spans="1:19" s="26" customFormat="1" ht="21" customHeight="1">
      <c r="A376" s="66"/>
      <c r="B376" s="80"/>
      <c r="C376" s="84">
        <v>4300</v>
      </c>
      <c r="D376" s="41" t="s">
        <v>77</v>
      </c>
      <c r="E376" s="79"/>
      <c r="F376" s="79"/>
      <c r="G376" s="79"/>
      <c r="H376" s="79"/>
      <c r="I376" s="79"/>
      <c r="J376" s="79"/>
      <c r="K376" s="79">
        <v>0</v>
      </c>
      <c r="L376" s="79">
        <v>45</v>
      </c>
      <c r="M376" s="79">
        <f>SUM(K376:L376)</f>
        <v>45</v>
      </c>
      <c r="N376" s="79"/>
      <c r="O376" s="79">
        <f>SUM(M376:N376)</f>
        <v>45</v>
      </c>
      <c r="P376" s="79"/>
      <c r="Q376" s="79">
        <f>SUM(O376:P376)</f>
        <v>45</v>
      </c>
      <c r="R376" s="79"/>
      <c r="S376" s="79">
        <f>SUM(Q376:R376)</f>
        <v>45</v>
      </c>
    </row>
    <row r="377" spans="1:19" s="26" customFormat="1" ht="21" customHeight="1">
      <c r="A377" s="66"/>
      <c r="B377" s="80">
        <v>82516</v>
      </c>
      <c r="C377" s="84"/>
      <c r="D377" s="41" t="s">
        <v>265</v>
      </c>
      <c r="E377" s="79">
        <f aca="true" t="shared" si="215" ref="E377:S377">SUM(E378)</f>
        <v>484000</v>
      </c>
      <c r="F377" s="79">
        <f t="shared" si="215"/>
        <v>0</v>
      </c>
      <c r="G377" s="79">
        <f t="shared" si="215"/>
        <v>484000</v>
      </c>
      <c r="H377" s="79">
        <f t="shared" si="215"/>
        <v>0</v>
      </c>
      <c r="I377" s="79">
        <f t="shared" si="215"/>
        <v>484000</v>
      </c>
      <c r="J377" s="79">
        <f t="shared" si="215"/>
        <v>0</v>
      </c>
      <c r="K377" s="79">
        <f t="shared" si="215"/>
        <v>484000</v>
      </c>
      <c r="L377" s="79">
        <f t="shared" si="215"/>
        <v>0</v>
      </c>
      <c r="M377" s="79">
        <f t="shared" si="215"/>
        <v>484000</v>
      </c>
      <c r="N377" s="79">
        <f t="shared" si="215"/>
        <v>0</v>
      </c>
      <c r="O377" s="79">
        <f t="shared" si="215"/>
        <v>484000</v>
      </c>
      <c r="P377" s="79">
        <f t="shared" si="215"/>
        <v>0</v>
      </c>
      <c r="Q377" s="79">
        <f t="shared" si="215"/>
        <v>484000</v>
      </c>
      <c r="R377" s="79">
        <f t="shared" si="215"/>
        <v>0</v>
      </c>
      <c r="S377" s="79">
        <f t="shared" si="215"/>
        <v>484000</v>
      </c>
    </row>
    <row r="378" spans="1:19" s="26" customFormat="1" ht="21" customHeight="1">
      <c r="A378" s="66"/>
      <c r="B378" s="80"/>
      <c r="C378" s="84">
        <v>3110</v>
      </c>
      <c r="D378" s="41" t="s">
        <v>110</v>
      </c>
      <c r="E378" s="79">
        <f>384000+100000</f>
        <v>484000</v>
      </c>
      <c r="F378" s="79"/>
      <c r="G378" s="79">
        <f>SUM(E378:F378)</f>
        <v>484000</v>
      </c>
      <c r="H378" s="79"/>
      <c r="I378" s="79">
        <f>SUM(G378:H378)</f>
        <v>484000</v>
      </c>
      <c r="J378" s="79"/>
      <c r="K378" s="79">
        <f>SUM(I378:J378)</f>
        <v>484000</v>
      </c>
      <c r="L378" s="79"/>
      <c r="M378" s="79">
        <f>SUM(K378:L378)</f>
        <v>484000</v>
      </c>
      <c r="N378" s="79"/>
      <c r="O378" s="79">
        <f>SUM(M378:N378)</f>
        <v>484000</v>
      </c>
      <c r="P378" s="79"/>
      <c r="Q378" s="79">
        <f>SUM(O378:P378)</f>
        <v>484000</v>
      </c>
      <c r="R378" s="79"/>
      <c r="S378" s="79">
        <f>SUM(Q378:R378)</f>
        <v>484000</v>
      </c>
    </row>
    <row r="379" spans="1:19" s="26" customFormat="1" ht="21" customHeight="1">
      <c r="A379" s="66"/>
      <c r="B379" s="80">
        <v>85219</v>
      </c>
      <c r="C379" s="84"/>
      <c r="D379" s="41" t="s">
        <v>57</v>
      </c>
      <c r="E379" s="79">
        <f aca="true" t="shared" si="216" ref="E379:K379">SUM(E380:E401)</f>
        <v>1489208</v>
      </c>
      <c r="F379" s="79">
        <f t="shared" si="216"/>
        <v>0</v>
      </c>
      <c r="G379" s="79">
        <f t="shared" si="216"/>
        <v>1489208</v>
      </c>
      <c r="H379" s="79">
        <f t="shared" si="216"/>
        <v>0</v>
      </c>
      <c r="I379" s="79">
        <f t="shared" si="216"/>
        <v>1489208</v>
      </c>
      <c r="J379" s="79">
        <f t="shared" si="216"/>
        <v>3280</v>
      </c>
      <c r="K379" s="79">
        <f t="shared" si="216"/>
        <v>1492488</v>
      </c>
      <c r="L379" s="79">
        <f aca="true" t="shared" si="217" ref="L379:Q379">SUM(L380:L401)</f>
        <v>0</v>
      </c>
      <c r="M379" s="79">
        <f t="shared" si="217"/>
        <v>1492488</v>
      </c>
      <c r="N379" s="79">
        <f t="shared" si="217"/>
        <v>0</v>
      </c>
      <c r="O379" s="79">
        <f t="shared" si="217"/>
        <v>1492488</v>
      </c>
      <c r="P379" s="79">
        <f t="shared" si="217"/>
        <v>6000</v>
      </c>
      <c r="Q379" s="79">
        <f t="shared" si="217"/>
        <v>1498488</v>
      </c>
      <c r="R379" s="79">
        <f>SUM(R380:R401)</f>
        <v>3000</v>
      </c>
      <c r="S379" s="79">
        <f>SUM(S380:S401)</f>
        <v>1501488</v>
      </c>
    </row>
    <row r="380" spans="1:19" s="26" customFormat="1" ht="21" customHeight="1">
      <c r="A380" s="66"/>
      <c r="B380" s="80"/>
      <c r="C380" s="84">
        <v>3020</v>
      </c>
      <c r="D380" s="41" t="s">
        <v>206</v>
      </c>
      <c r="E380" s="79">
        <f>2950+1000</f>
        <v>3950</v>
      </c>
      <c r="F380" s="79"/>
      <c r="G380" s="79">
        <f>SUM(E380:F380)</f>
        <v>3950</v>
      </c>
      <c r="H380" s="79"/>
      <c r="I380" s="79">
        <f>SUM(G380:H380)</f>
        <v>3950</v>
      </c>
      <c r="J380" s="79"/>
      <c r="K380" s="79">
        <f>SUM(I380:J380)</f>
        <v>3950</v>
      </c>
      <c r="L380" s="79"/>
      <c r="M380" s="79">
        <f>SUM(K380:L380)</f>
        <v>3950</v>
      </c>
      <c r="N380" s="79"/>
      <c r="O380" s="79">
        <f>SUM(M380:N380)</f>
        <v>3950</v>
      </c>
      <c r="P380" s="79"/>
      <c r="Q380" s="79">
        <f>SUM(O380:P380)</f>
        <v>3950</v>
      </c>
      <c r="R380" s="79"/>
      <c r="S380" s="79">
        <f>SUM(Q380:R380)</f>
        <v>3950</v>
      </c>
    </row>
    <row r="381" spans="1:19" s="26" customFormat="1" ht="21" customHeight="1">
      <c r="A381" s="66"/>
      <c r="B381" s="80"/>
      <c r="C381" s="84">
        <v>3110</v>
      </c>
      <c r="D381" s="41" t="s">
        <v>110</v>
      </c>
      <c r="E381" s="79"/>
      <c r="F381" s="79"/>
      <c r="G381" s="79"/>
      <c r="H381" s="79"/>
      <c r="I381" s="79">
        <v>0</v>
      </c>
      <c r="J381" s="79">
        <v>3280</v>
      </c>
      <c r="K381" s="79">
        <f>SUM(I381:J381)</f>
        <v>3280</v>
      </c>
      <c r="L381" s="79"/>
      <c r="M381" s="79">
        <f>SUM(K381:L381)</f>
        <v>3280</v>
      </c>
      <c r="N381" s="79"/>
      <c r="O381" s="79">
        <f>SUM(M381:N381)</f>
        <v>3280</v>
      </c>
      <c r="P381" s="79">
        <v>6000</v>
      </c>
      <c r="Q381" s="79">
        <f>SUM(O381:P381)</f>
        <v>9280</v>
      </c>
      <c r="R381" s="79">
        <v>3000</v>
      </c>
      <c r="S381" s="79">
        <f>SUM(Q381:R381)</f>
        <v>12280</v>
      </c>
    </row>
    <row r="382" spans="1:19" s="26" customFormat="1" ht="21" customHeight="1">
      <c r="A382" s="66"/>
      <c r="B382" s="80"/>
      <c r="C382" s="84">
        <v>4010</v>
      </c>
      <c r="D382" s="41" t="s">
        <v>82</v>
      </c>
      <c r="E382" s="79">
        <f>32387+410780+180107+89186</f>
        <v>712460</v>
      </c>
      <c r="F382" s="79"/>
      <c r="G382" s="79">
        <f aca="true" t="shared" si="218" ref="G382:G401">SUM(E382:F382)</f>
        <v>712460</v>
      </c>
      <c r="H382" s="79"/>
      <c r="I382" s="79">
        <f aca="true" t="shared" si="219" ref="I382:I401">SUM(G382:H382)</f>
        <v>712460</v>
      </c>
      <c r="J382" s="79"/>
      <c r="K382" s="79">
        <f aca="true" t="shared" si="220" ref="K382:K401">SUM(I382:J382)</f>
        <v>712460</v>
      </c>
      <c r="L382" s="79"/>
      <c r="M382" s="79">
        <f aca="true" t="shared" si="221" ref="M382:M401">SUM(K382:L382)</f>
        <v>712460</v>
      </c>
      <c r="N382" s="79"/>
      <c r="O382" s="79">
        <f aca="true" t="shared" si="222" ref="O382:O401">SUM(M382:N382)</f>
        <v>712460</v>
      </c>
      <c r="P382" s="79"/>
      <c r="Q382" s="79">
        <f aca="true" t="shared" si="223" ref="Q382:Q401">SUM(O382:P382)</f>
        <v>712460</v>
      </c>
      <c r="R382" s="79"/>
      <c r="S382" s="79">
        <f aca="true" t="shared" si="224" ref="S382:S401">SUM(Q382:R382)</f>
        <v>712460</v>
      </c>
    </row>
    <row r="383" spans="1:19" s="26" customFormat="1" ht="21" customHeight="1">
      <c r="A383" s="66"/>
      <c r="B383" s="80"/>
      <c r="C383" s="84">
        <v>4040</v>
      </c>
      <c r="D383" s="41" t="s">
        <v>83</v>
      </c>
      <c r="E383" s="79">
        <f>2500+32000+18043+6752</f>
        <v>59295</v>
      </c>
      <c r="F383" s="79"/>
      <c r="G383" s="79">
        <f t="shared" si="218"/>
        <v>59295</v>
      </c>
      <c r="H383" s="79"/>
      <c r="I383" s="79">
        <f t="shared" si="219"/>
        <v>59295</v>
      </c>
      <c r="J383" s="79"/>
      <c r="K383" s="79">
        <f t="shared" si="220"/>
        <v>59295</v>
      </c>
      <c r="L383" s="79"/>
      <c r="M383" s="79">
        <f t="shared" si="221"/>
        <v>59295</v>
      </c>
      <c r="N383" s="79"/>
      <c r="O383" s="79">
        <f t="shared" si="222"/>
        <v>59295</v>
      </c>
      <c r="P383" s="79"/>
      <c r="Q383" s="79">
        <f t="shared" si="223"/>
        <v>59295</v>
      </c>
      <c r="R383" s="79"/>
      <c r="S383" s="79">
        <f t="shared" si="224"/>
        <v>59295</v>
      </c>
    </row>
    <row r="384" spans="1:19" s="26" customFormat="1" ht="21" customHeight="1">
      <c r="A384" s="66"/>
      <c r="B384" s="80"/>
      <c r="C384" s="84">
        <v>4110</v>
      </c>
      <c r="D384" s="41" t="s">
        <v>84</v>
      </c>
      <c r="E384" s="79">
        <f>5335+62804+40042+14669</f>
        <v>122850</v>
      </c>
      <c r="F384" s="79"/>
      <c r="G384" s="79">
        <f t="shared" si="218"/>
        <v>122850</v>
      </c>
      <c r="H384" s="79"/>
      <c r="I384" s="79">
        <f t="shared" si="219"/>
        <v>122850</v>
      </c>
      <c r="J384" s="79"/>
      <c r="K384" s="79">
        <f t="shared" si="220"/>
        <v>122850</v>
      </c>
      <c r="L384" s="79"/>
      <c r="M384" s="79">
        <f t="shared" si="221"/>
        <v>122850</v>
      </c>
      <c r="N384" s="79"/>
      <c r="O384" s="79">
        <f t="shared" si="222"/>
        <v>122850</v>
      </c>
      <c r="P384" s="79"/>
      <c r="Q384" s="79">
        <f t="shared" si="223"/>
        <v>122850</v>
      </c>
      <c r="R384" s="79"/>
      <c r="S384" s="79">
        <f t="shared" si="224"/>
        <v>122850</v>
      </c>
    </row>
    <row r="385" spans="1:19" s="26" customFormat="1" ht="21" customHeight="1">
      <c r="A385" s="66"/>
      <c r="B385" s="80"/>
      <c r="C385" s="84">
        <v>4120</v>
      </c>
      <c r="D385" s="41" t="s">
        <v>85</v>
      </c>
      <c r="E385" s="79">
        <f>855+10063+6302+2351</f>
        <v>19571</v>
      </c>
      <c r="F385" s="79"/>
      <c r="G385" s="79">
        <f t="shared" si="218"/>
        <v>19571</v>
      </c>
      <c r="H385" s="79"/>
      <c r="I385" s="79">
        <f t="shared" si="219"/>
        <v>19571</v>
      </c>
      <c r="J385" s="79"/>
      <c r="K385" s="79">
        <f t="shared" si="220"/>
        <v>19571</v>
      </c>
      <c r="L385" s="79"/>
      <c r="M385" s="79">
        <f t="shared" si="221"/>
        <v>19571</v>
      </c>
      <c r="N385" s="79"/>
      <c r="O385" s="79">
        <f t="shared" si="222"/>
        <v>19571</v>
      </c>
      <c r="P385" s="79"/>
      <c r="Q385" s="79">
        <f t="shared" si="223"/>
        <v>19571</v>
      </c>
      <c r="R385" s="79"/>
      <c r="S385" s="79">
        <f t="shared" si="224"/>
        <v>19571</v>
      </c>
    </row>
    <row r="386" spans="1:19" s="26" customFormat="1" ht="21" customHeight="1">
      <c r="A386" s="66"/>
      <c r="B386" s="80"/>
      <c r="C386" s="84">
        <v>4170</v>
      </c>
      <c r="D386" s="41" t="s">
        <v>193</v>
      </c>
      <c r="E386" s="79">
        <v>8940</v>
      </c>
      <c r="F386" s="79"/>
      <c r="G386" s="79">
        <f t="shared" si="218"/>
        <v>8940</v>
      </c>
      <c r="H386" s="79"/>
      <c r="I386" s="79">
        <f t="shared" si="219"/>
        <v>8940</v>
      </c>
      <c r="J386" s="79"/>
      <c r="K386" s="79">
        <f t="shared" si="220"/>
        <v>8940</v>
      </c>
      <c r="L386" s="79"/>
      <c r="M386" s="79">
        <f t="shared" si="221"/>
        <v>8940</v>
      </c>
      <c r="N386" s="79"/>
      <c r="O386" s="79">
        <f t="shared" si="222"/>
        <v>8940</v>
      </c>
      <c r="P386" s="79"/>
      <c r="Q386" s="79">
        <f t="shared" si="223"/>
        <v>8940</v>
      </c>
      <c r="R386" s="79"/>
      <c r="S386" s="79">
        <f t="shared" si="224"/>
        <v>8940</v>
      </c>
    </row>
    <row r="387" spans="1:19" s="26" customFormat="1" ht="21" customHeight="1">
      <c r="A387" s="66"/>
      <c r="B387" s="80"/>
      <c r="C387" s="84">
        <v>4210</v>
      </c>
      <c r="D387" s="41" t="s">
        <v>90</v>
      </c>
      <c r="E387" s="79">
        <f>2850+22450+15000</f>
        <v>40300</v>
      </c>
      <c r="F387" s="79"/>
      <c r="G387" s="79">
        <f t="shared" si="218"/>
        <v>40300</v>
      </c>
      <c r="H387" s="79"/>
      <c r="I387" s="79">
        <f t="shared" si="219"/>
        <v>40300</v>
      </c>
      <c r="J387" s="79"/>
      <c r="K387" s="79">
        <f t="shared" si="220"/>
        <v>40300</v>
      </c>
      <c r="L387" s="79"/>
      <c r="M387" s="79">
        <f t="shared" si="221"/>
        <v>40300</v>
      </c>
      <c r="N387" s="79"/>
      <c r="O387" s="79">
        <f t="shared" si="222"/>
        <v>40300</v>
      </c>
      <c r="P387" s="79"/>
      <c r="Q387" s="79">
        <f t="shared" si="223"/>
        <v>40300</v>
      </c>
      <c r="R387" s="79"/>
      <c r="S387" s="79">
        <f t="shared" si="224"/>
        <v>40300</v>
      </c>
    </row>
    <row r="388" spans="1:19" s="26" customFormat="1" ht="21" customHeight="1">
      <c r="A388" s="66"/>
      <c r="B388" s="80"/>
      <c r="C388" s="84">
        <v>4220</v>
      </c>
      <c r="D388" s="41" t="s">
        <v>178</v>
      </c>
      <c r="E388" s="79">
        <v>250000</v>
      </c>
      <c r="F388" s="79"/>
      <c r="G388" s="79">
        <f t="shared" si="218"/>
        <v>250000</v>
      </c>
      <c r="H388" s="79"/>
      <c r="I388" s="79">
        <f t="shared" si="219"/>
        <v>250000</v>
      </c>
      <c r="J388" s="79"/>
      <c r="K388" s="79">
        <f t="shared" si="220"/>
        <v>250000</v>
      </c>
      <c r="L388" s="79"/>
      <c r="M388" s="79">
        <f t="shared" si="221"/>
        <v>250000</v>
      </c>
      <c r="N388" s="79"/>
      <c r="O388" s="79">
        <f t="shared" si="222"/>
        <v>250000</v>
      </c>
      <c r="P388" s="79"/>
      <c r="Q388" s="79">
        <f t="shared" si="223"/>
        <v>250000</v>
      </c>
      <c r="R388" s="79"/>
      <c r="S388" s="79">
        <f t="shared" si="224"/>
        <v>250000</v>
      </c>
    </row>
    <row r="389" spans="1:19" s="26" customFormat="1" ht="21" customHeight="1">
      <c r="A389" s="66"/>
      <c r="B389" s="80"/>
      <c r="C389" s="84">
        <v>4260</v>
      </c>
      <c r="D389" s="41" t="s">
        <v>93</v>
      </c>
      <c r="E389" s="79">
        <f>6180+16232</f>
        <v>22412</v>
      </c>
      <c r="F389" s="79"/>
      <c r="G389" s="79">
        <f t="shared" si="218"/>
        <v>22412</v>
      </c>
      <c r="H389" s="79"/>
      <c r="I389" s="79">
        <f t="shared" si="219"/>
        <v>22412</v>
      </c>
      <c r="J389" s="79"/>
      <c r="K389" s="79">
        <f t="shared" si="220"/>
        <v>22412</v>
      </c>
      <c r="L389" s="79"/>
      <c r="M389" s="79">
        <f t="shared" si="221"/>
        <v>22412</v>
      </c>
      <c r="N389" s="79"/>
      <c r="O389" s="79">
        <f t="shared" si="222"/>
        <v>22412</v>
      </c>
      <c r="P389" s="79"/>
      <c r="Q389" s="79">
        <f t="shared" si="223"/>
        <v>22412</v>
      </c>
      <c r="R389" s="79"/>
      <c r="S389" s="79">
        <f t="shared" si="224"/>
        <v>22412</v>
      </c>
    </row>
    <row r="390" spans="1:19" s="26" customFormat="1" ht="21" customHeight="1">
      <c r="A390" s="66"/>
      <c r="B390" s="80"/>
      <c r="C390" s="84">
        <v>4270</v>
      </c>
      <c r="D390" s="41" t="s">
        <v>76</v>
      </c>
      <c r="E390" s="79">
        <f>500+1000</f>
        <v>1500</v>
      </c>
      <c r="F390" s="79"/>
      <c r="G390" s="79">
        <f t="shared" si="218"/>
        <v>1500</v>
      </c>
      <c r="H390" s="79"/>
      <c r="I390" s="79">
        <f t="shared" si="219"/>
        <v>1500</v>
      </c>
      <c r="J390" s="79"/>
      <c r="K390" s="79">
        <f t="shared" si="220"/>
        <v>1500</v>
      </c>
      <c r="L390" s="79"/>
      <c r="M390" s="79">
        <f t="shared" si="221"/>
        <v>1500</v>
      </c>
      <c r="N390" s="79"/>
      <c r="O390" s="79">
        <f t="shared" si="222"/>
        <v>1500</v>
      </c>
      <c r="P390" s="79"/>
      <c r="Q390" s="79">
        <f t="shared" si="223"/>
        <v>1500</v>
      </c>
      <c r="R390" s="79"/>
      <c r="S390" s="79">
        <f t="shared" si="224"/>
        <v>1500</v>
      </c>
    </row>
    <row r="391" spans="1:19" s="26" customFormat="1" ht="21" customHeight="1">
      <c r="A391" s="66"/>
      <c r="B391" s="80"/>
      <c r="C391" s="84">
        <v>4280</v>
      </c>
      <c r="D391" s="41" t="s">
        <v>198</v>
      </c>
      <c r="E391" s="79">
        <f>150+1615+934</f>
        <v>2699</v>
      </c>
      <c r="F391" s="79"/>
      <c r="G391" s="79">
        <f t="shared" si="218"/>
        <v>2699</v>
      </c>
      <c r="H391" s="79"/>
      <c r="I391" s="79">
        <f t="shared" si="219"/>
        <v>2699</v>
      </c>
      <c r="J391" s="79"/>
      <c r="K391" s="79">
        <f t="shared" si="220"/>
        <v>2699</v>
      </c>
      <c r="L391" s="79"/>
      <c r="M391" s="79">
        <f t="shared" si="221"/>
        <v>2699</v>
      </c>
      <c r="N391" s="79"/>
      <c r="O391" s="79">
        <f t="shared" si="222"/>
        <v>2699</v>
      </c>
      <c r="P391" s="79"/>
      <c r="Q391" s="79">
        <f t="shared" si="223"/>
        <v>2699</v>
      </c>
      <c r="R391" s="79"/>
      <c r="S391" s="79">
        <f t="shared" si="224"/>
        <v>2699</v>
      </c>
    </row>
    <row r="392" spans="1:19" s="26" customFormat="1" ht="21" customHeight="1">
      <c r="A392" s="66"/>
      <c r="B392" s="80"/>
      <c r="C392" s="84">
        <v>4300</v>
      </c>
      <c r="D392" s="41" t="s">
        <v>77</v>
      </c>
      <c r="E392" s="79">
        <f>53370+42366+17400</f>
        <v>113136</v>
      </c>
      <c r="F392" s="79"/>
      <c r="G392" s="79">
        <f t="shared" si="218"/>
        <v>113136</v>
      </c>
      <c r="H392" s="79"/>
      <c r="I392" s="79">
        <f t="shared" si="219"/>
        <v>113136</v>
      </c>
      <c r="J392" s="79"/>
      <c r="K392" s="79">
        <f t="shared" si="220"/>
        <v>113136</v>
      </c>
      <c r="L392" s="79"/>
      <c r="M392" s="79">
        <f t="shared" si="221"/>
        <v>113136</v>
      </c>
      <c r="N392" s="79"/>
      <c r="O392" s="79">
        <f t="shared" si="222"/>
        <v>113136</v>
      </c>
      <c r="P392" s="79"/>
      <c r="Q392" s="79">
        <f t="shared" si="223"/>
        <v>113136</v>
      </c>
      <c r="R392" s="79"/>
      <c r="S392" s="79">
        <f t="shared" si="224"/>
        <v>113136</v>
      </c>
    </row>
    <row r="393" spans="1:19" s="26" customFormat="1" ht="21" customHeight="1">
      <c r="A393" s="66"/>
      <c r="B393" s="80"/>
      <c r="C393" s="84">
        <v>4350</v>
      </c>
      <c r="D393" s="41" t="s">
        <v>204</v>
      </c>
      <c r="E393" s="79">
        <f>545+627</f>
        <v>1172</v>
      </c>
      <c r="F393" s="79"/>
      <c r="G393" s="79">
        <f t="shared" si="218"/>
        <v>1172</v>
      </c>
      <c r="H393" s="79"/>
      <c r="I393" s="79">
        <f t="shared" si="219"/>
        <v>1172</v>
      </c>
      <c r="J393" s="79"/>
      <c r="K393" s="79">
        <f t="shared" si="220"/>
        <v>1172</v>
      </c>
      <c r="L393" s="79"/>
      <c r="M393" s="79">
        <f t="shared" si="221"/>
        <v>1172</v>
      </c>
      <c r="N393" s="79"/>
      <c r="O393" s="79">
        <f t="shared" si="222"/>
        <v>1172</v>
      </c>
      <c r="P393" s="79"/>
      <c r="Q393" s="79">
        <f t="shared" si="223"/>
        <v>1172</v>
      </c>
      <c r="R393" s="79"/>
      <c r="S393" s="79">
        <f t="shared" si="224"/>
        <v>1172</v>
      </c>
    </row>
    <row r="394" spans="1:19" s="26" customFormat="1" ht="33.75">
      <c r="A394" s="66"/>
      <c r="B394" s="80"/>
      <c r="C394" s="84">
        <v>4360</v>
      </c>
      <c r="D394" s="41" t="s">
        <v>295</v>
      </c>
      <c r="E394" s="79">
        <v>732</v>
      </c>
      <c r="F394" s="79"/>
      <c r="G394" s="79">
        <f t="shared" si="218"/>
        <v>732</v>
      </c>
      <c r="H394" s="79"/>
      <c r="I394" s="79">
        <f t="shared" si="219"/>
        <v>732</v>
      </c>
      <c r="J394" s="79"/>
      <c r="K394" s="79">
        <f t="shared" si="220"/>
        <v>732</v>
      </c>
      <c r="L394" s="79"/>
      <c r="M394" s="79">
        <f t="shared" si="221"/>
        <v>732</v>
      </c>
      <c r="N394" s="79"/>
      <c r="O394" s="79">
        <f t="shared" si="222"/>
        <v>732</v>
      </c>
      <c r="P394" s="79"/>
      <c r="Q394" s="79">
        <f t="shared" si="223"/>
        <v>732</v>
      </c>
      <c r="R394" s="79"/>
      <c r="S394" s="79">
        <f t="shared" si="224"/>
        <v>732</v>
      </c>
    </row>
    <row r="395" spans="1:19" s="26" customFormat="1" ht="33.75">
      <c r="A395" s="66"/>
      <c r="B395" s="80"/>
      <c r="C395" s="84">
        <v>4370</v>
      </c>
      <c r="D395" s="41" t="s">
        <v>294</v>
      </c>
      <c r="E395" s="79">
        <f>1560+4500+480</f>
        <v>6540</v>
      </c>
      <c r="F395" s="79"/>
      <c r="G395" s="79">
        <f t="shared" si="218"/>
        <v>6540</v>
      </c>
      <c r="H395" s="79"/>
      <c r="I395" s="79">
        <f t="shared" si="219"/>
        <v>6540</v>
      </c>
      <c r="J395" s="79"/>
      <c r="K395" s="79">
        <f t="shared" si="220"/>
        <v>6540</v>
      </c>
      <c r="L395" s="79"/>
      <c r="M395" s="79">
        <f t="shared" si="221"/>
        <v>6540</v>
      </c>
      <c r="N395" s="79"/>
      <c r="O395" s="79">
        <f t="shared" si="222"/>
        <v>6540</v>
      </c>
      <c r="P395" s="79"/>
      <c r="Q395" s="79">
        <f t="shared" si="223"/>
        <v>6540</v>
      </c>
      <c r="R395" s="79"/>
      <c r="S395" s="79">
        <f t="shared" si="224"/>
        <v>6540</v>
      </c>
    </row>
    <row r="396" spans="1:19" s="26" customFormat="1" ht="27" customHeight="1">
      <c r="A396" s="66"/>
      <c r="B396" s="80"/>
      <c r="C396" s="84">
        <v>4400</v>
      </c>
      <c r="D396" s="41" t="s">
        <v>233</v>
      </c>
      <c r="E396" s="79">
        <f>1660+49924+16674</f>
        <v>68258</v>
      </c>
      <c r="F396" s="79"/>
      <c r="G396" s="79">
        <f t="shared" si="218"/>
        <v>68258</v>
      </c>
      <c r="H396" s="79"/>
      <c r="I396" s="79">
        <f t="shared" si="219"/>
        <v>68258</v>
      </c>
      <c r="J396" s="79"/>
      <c r="K396" s="79">
        <f t="shared" si="220"/>
        <v>68258</v>
      </c>
      <c r="L396" s="79"/>
      <c r="M396" s="79">
        <f t="shared" si="221"/>
        <v>68258</v>
      </c>
      <c r="N396" s="79"/>
      <c r="O396" s="79">
        <f t="shared" si="222"/>
        <v>68258</v>
      </c>
      <c r="P396" s="79"/>
      <c r="Q396" s="79">
        <f t="shared" si="223"/>
        <v>68258</v>
      </c>
      <c r="R396" s="79"/>
      <c r="S396" s="79">
        <f t="shared" si="224"/>
        <v>68258</v>
      </c>
    </row>
    <row r="397" spans="1:19" s="26" customFormat="1" ht="21" customHeight="1">
      <c r="A397" s="66"/>
      <c r="B397" s="80"/>
      <c r="C397" s="84">
        <v>4410</v>
      </c>
      <c r="D397" s="41" t="s">
        <v>88</v>
      </c>
      <c r="E397" s="79">
        <f>200+14518</f>
        <v>14718</v>
      </c>
      <c r="F397" s="79"/>
      <c r="G397" s="79">
        <f t="shared" si="218"/>
        <v>14718</v>
      </c>
      <c r="H397" s="79"/>
      <c r="I397" s="79">
        <f t="shared" si="219"/>
        <v>14718</v>
      </c>
      <c r="J397" s="79"/>
      <c r="K397" s="79">
        <f t="shared" si="220"/>
        <v>14718</v>
      </c>
      <c r="L397" s="79"/>
      <c r="M397" s="79">
        <f t="shared" si="221"/>
        <v>14718</v>
      </c>
      <c r="N397" s="79"/>
      <c r="O397" s="79">
        <f t="shared" si="222"/>
        <v>14718</v>
      </c>
      <c r="P397" s="79"/>
      <c r="Q397" s="79">
        <f t="shared" si="223"/>
        <v>14718</v>
      </c>
      <c r="R397" s="79"/>
      <c r="S397" s="79">
        <f t="shared" si="224"/>
        <v>14718</v>
      </c>
    </row>
    <row r="398" spans="1:19" s="26" customFormat="1" ht="21" customHeight="1">
      <c r="A398" s="66"/>
      <c r="B398" s="80"/>
      <c r="C398" s="84">
        <v>4430</v>
      </c>
      <c r="D398" s="41" t="s">
        <v>92</v>
      </c>
      <c r="E398" s="79">
        <v>3470</v>
      </c>
      <c r="F398" s="79"/>
      <c r="G398" s="79">
        <f t="shared" si="218"/>
        <v>3470</v>
      </c>
      <c r="H398" s="79"/>
      <c r="I398" s="79">
        <f t="shared" si="219"/>
        <v>3470</v>
      </c>
      <c r="J398" s="79"/>
      <c r="K398" s="79">
        <f t="shared" si="220"/>
        <v>3470</v>
      </c>
      <c r="L398" s="79"/>
      <c r="M398" s="79">
        <f t="shared" si="221"/>
        <v>3470</v>
      </c>
      <c r="N398" s="79"/>
      <c r="O398" s="79">
        <f t="shared" si="222"/>
        <v>3470</v>
      </c>
      <c r="P398" s="79"/>
      <c r="Q398" s="79">
        <f t="shared" si="223"/>
        <v>3470</v>
      </c>
      <c r="R398" s="79"/>
      <c r="S398" s="79">
        <f t="shared" si="224"/>
        <v>3470</v>
      </c>
    </row>
    <row r="399" spans="1:19" s="26" customFormat="1" ht="21" customHeight="1">
      <c r="A399" s="66"/>
      <c r="B399" s="80"/>
      <c r="C399" s="84">
        <v>4440</v>
      </c>
      <c r="D399" s="41" t="s">
        <v>86</v>
      </c>
      <c r="E399" s="79">
        <f>1150+15000+7373+4682</f>
        <v>28205</v>
      </c>
      <c r="F399" s="79"/>
      <c r="G399" s="79">
        <f t="shared" si="218"/>
        <v>28205</v>
      </c>
      <c r="H399" s="79"/>
      <c r="I399" s="79">
        <f t="shared" si="219"/>
        <v>28205</v>
      </c>
      <c r="J399" s="79"/>
      <c r="K399" s="79">
        <f t="shared" si="220"/>
        <v>28205</v>
      </c>
      <c r="L399" s="79"/>
      <c r="M399" s="79">
        <f t="shared" si="221"/>
        <v>28205</v>
      </c>
      <c r="N399" s="79"/>
      <c r="O399" s="79">
        <f t="shared" si="222"/>
        <v>28205</v>
      </c>
      <c r="P399" s="79"/>
      <c r="Q399" s="79">
        <f t="shared" si="223"/>
        <v>28205</v>
      </c>
      <c r="R399" s="79"/>
      <c r="S399" s="79">
        <f t="shared" si="224"/>
        <v>28205</v>
      </c>
    </row>
    <row r="400" spans="1:19" s="26" customFormat="1" ht="21" customHeight="1">
      <c r="A400" s="66"/>
      <c r="B400" s="80"/>
      <c r="C400" s="84">
        <v>4610</v>
      </c>
      <c r="D400" s="41" t="s">
        <v>180</v>
      </c>
      <c r="E400" s="79">
        <v>1000</v>
      </c>
      <c r="F400" s="79"/>
      <c r="G400" s="79">
        <f t="shared" si="218"/>
        <v>1000</v>
      </c>
      <c r="H400" s="79"/>
      <c r="I400" s="79">
        <f t="shared" si="219"/>
        <v>1000</v>
      </c>
      <c r="J400" s="79"/>
      <c r="K400" s="79">
        <f t="shared" si="220"/>
        <v>1000</v>
      </c>
      <c r="L400" s="79"/>
      <c r="M400" s="79">
        <f t="shared" si="221"/>
        <v>1000</v>
      </c>
      <c r="N400" s="79"/>
      <c r="O400" s="79">
        <f t="shared" si="222"/>
        <v>1000</v>
      </c>
      <c r="P400" s="79"/>
      <c r="Q400" s="79">
        <f t="shared" si="223"/>
        <v>1000</v>
      </c>
      <c r="R400" s="79"/>
      <c r="S400" s="79">
        <f t="shared" si="224"/>
        <v>1000</v>
      </c>
    </row>
    <row r="401" spans="1:19" s="26" customFormat="1" ht="27" customHeight="1">
      <c r="A401" s="66"/>
      <c r="B401" s="80"/>
      <c r="C401" s="84">
        <v>4700</v>
      </c>
      <c r="D401" s="41" t="s">
        <v>239</v>
      </c>
      <c r="E401" s="79">
        <f>2000+6000</f>
        <v>8000</v>
      </c>
      <c r="F401" s="79"/>
      <c r="G401" s="79">
        <f t="shared" si="218"/>
        <v>8000</v>
      </c>
      <c r="H401" s="79"/>
      <c r="I401" s="79">
        <f t="shared" si="219"/>
        <v>8000</v>
      </c>
      <c r="J401" s="79"/>
      <c r="K401" s="79">
        <f t="shared" si="220"/>
        <v>8000</v>
      </c>
      <c r="L401" s="79"/>
      <c r="M401" s="79">
        <f t="shared" si="221"/>
        <v>8000</v>
      </c>
      <c r="N401" s="79"/>
      <c r="O401" s="79">
        <f t="shared" si="222"/>
        <v>8000</v>
      </c>
      <c r="P401" s="79"/>
      <c r="Q401" s="79">
        <f t="shared" si="223"/>
        <v>8000</v>
      </c>
      <c r="R401" s="79"/>
      <c r="S401" s="79">
        <f t="shared" si="224"/>
        <v>8000</v>
      </c>
    </row>
    <row r="402" spans="1:19" s="26" customFormat="1" ht="24.75" customHeight="1">
      <c r="A402" s="66"/>
      <c r="B402" s="80">
        <v>85228</v>
      </c>
      <c r="C402" s="84"/>
      <c r="D402" s="41" t="s">
        <v>119</v>
      </c>
      <c r="E402" s="79">
        <f aca="true" t="shared" si="225" ref="E402:S402">SUM(E403)</f>
        <v>216000</v>
      </c>
      <c r="F402" s="79">
        <f t="shared" si="225"/>
        <v>0</v>
      </c>
      <c r="G402" s="79">
        <f t="shared" si="225"/>
        <v>216000</v>
      </c>
      <c r="H402" s="79">
        <f t="shared" si="225"/>
        <v>0</v>
      </c>
      <c r="I402" s="79">
        <f t="shared" si="225"/>
        <v>216000</v>
      </c>
      <c r="J402" s="79">
        <f t="shared" si="225"/>
        <v>0</v>
      </c>
      <c r="K402" s="79">
        <f t="shared" si="225"/>
        <v>216000</v>
      </c>
      <c r="L402" s="79">
        <f t="shared" si="225"/>
        <v>0</v>
      </c>
      <c r="M402" s="79">
        <f t="shared" si="225"/>
        <v>216000</v>
      </c>
      <c r="N402" s="79">
        <f t="shared" si="225"/>
        <v>0</v>
      </c>
      <c r="O402" s="79">
        <f t="shared" si="225"/>
        <v>216000</v>
      </c>
      <c r="P402" s="79">
        <f t="shared" si="225"/>
        <v>0</v>
      </c>
      <c r="Q402" s="79">
        <f t="shared" si="225"/>
        <v>216000</v>
      </c>
      <c r="R402" s="79">
        <f t="shared" si="225"/>
        <v>0</v>
      </c>
      <c r="S402" s="79">
        <f t="shared" si="225"/>
        <v>216000</v>
      </c>
    </row>
    <row r="403" spans="1:19" s="26" customFormat="1" ht="21" customHeight="1">
      <c r="A403" s="66"/>
      <c r="B403" s="80"/>
      <c r="C403" s="84">
        <v>4300</v>
      </c>
      <c r="D403" s="41" t="s">
        <v>77</v>
      </c>
      <c r="E403" s="79">
        <v>216000</v>
      </c>
      <c r="F403" s="79"/>
      <c r="G403" s="79">
        <f>SUM(E403:F403)</f>
        <v>216000</v>
      </c>
      <c r="H403" s="79"/>
      <c r="I403" s="79">
        <f>SUM(G403:H403)</f>
        <v>216000</v>
      </c>
      <c r="J403" s="79"/>
      <c r="K403" s="79">
        <f>SUM(I403:J403)</f>
        <v>216000</v>
      </c>
      <c r="L403" s="79"/>
      <c r="M403" s="79">
        <f>SUM(K403:L403)</f>
        <v>216000</v>
      </c>
      <c r="N403" s="79"/>
      <c r="O403" s="79">
        <f>SUM(M403:N403)</f>
        <v>216000</v>
      </c>
      <c r="P403" s="79"/>
      <c r="Q403" s="79">
        <f>SUM(O403:P403)</f>
        <v>216000</v>
      </c>
      <c r="R403" s="79"/>
      <c r="S403" s="79">
        <f>SUM(Q403:R403)</f>
        <v>216000</v>
      </c>
    </row>
    <row r="404" spans="1:19" s="26" customFormat="1" ht="21" customHeight="1">
      <c r="A404" s="66"/>
      <c r="B404" s="80" t="s">
        <v>155</v>
      </c>
      <c r="C404" s="84"/>
      <c r="D404" s="41" t="s">
        <v>6</v>
      </c>
      <c r="E404" s="79">
        <f>SUM(E406:E407)</f>
        <v>225520</v>
      </c>
      <c r="F404" s="79">
        <f>SUM(F406:F407)</f>
        <v>593300</v>
      </c>
      <c r="G404" s="79">
        <f aca="true" t="shared" si="226" ref="G404:M404">SUM(G405:G407)</f>
        <v>818820</v>
      </c>
      <c r="H404" s="79">
        <f t="shared" si="226"/>
        <v>10000</v>
      </c>
      <c r="I404" s="79">
        <f t="shared" si="226"/>
        <v>828820</v>
      </c>
      <c r="J404" s="79">
        <f t="shared" si="226"/>
        <v>0</v>
      </c>
      <c r="K404" s="79">
        <f t="shared" si="226"/>
        <v>828820</v>
      </c>
      <c r="L404" s="79">
        <f t="shared" si="226"/>
        <v>23630</v>
      </c>
      <c r="M404" s="79">
        <f t="shared" si="226"/>
        <v>852450</v>
      </c>
      <c r="N404" s="79">
        <f aca="true" t="shared" si="227" ref="N404:S404">SUM(N405:N407)</f>
        <v>95130</v>
      </c>
      <c r="O404" s="79">
        <f t="shared" si="227"/>
        <v>947580</v>
      </c>
      <c r="P404" s="79">
        <f t="shared" si="227"/>
        <v>0</v>
      </c>
      <c r="Q404" s="79">
        <f t="shared" si="227"/>
        <v>947580</v>
      </c>
      <c r="R404" s="79">
        <f t="shared" si="227"/>
        <v>414780</v>
      </c>
      <c r="S404" s="79">
        <f t="shared" si="227"/>
        <v>1362360</v>
      </c>
    </row>
    <row r="405" spans="1:19" s="26" customFormat="1" ht="41.25" customHeight="1">
      <c r="A405" s="66"/>
      <c r="B405" s="80"/>
      <c r="C405" s="84">
        <v>2710</v>
      </c>
      <c r="D405" s="41" t="s">
        <v>344</v>
      </c>
      <c r="E405" s="79"/>
      <c r="F405" s="79"/>
      <c r="G405" s="79">
        <v>0</v>
      </c>
      <c r="H405" s="79">
        <v>10000</v>
      </c>
      <c r="I405" s="70">
        <f>SUM(G405:H405)</f>
        <v>10000</v>
      </c>
      <c r="J405" s="79"/>
      <c r="K405" s="70">
        <f>SUM(I405:J405)</f>
        <v>10000</v>
      </c>
      <c r="L405" s="79"/>
      <c r="M405" s="70">
        <f>SUM(K405:L405)</f>
        <v>10000</v>
      </c>
      <c r="N405" s="79"/>
      <c r="O405" s="70">
        <f>SUM(M405:N405)</f>
        <v>10000</v>
      </c>
      <c r="P405" s="79"/>
      <c r="Q405" s="70">
        <f>SUM(O405:P405)</f>
        <v>10000</v>
      </c>
      <c r="R405" s="79"/>
      <c r="S405" s="70">
        <f>SUM(Q405:R405)</f>
        <v>10000</v>
      </c>
    </row>
    <row r="406" spans="1:19" s="26" customFormat="1" ht="21" customHeight="1">
      <c r="A406" s="66"/>
      <c r="B406" s="80"/>
      <c r="C406" s="84">
        <v>3110</v>
      </c>
      <c r="D406" s="41" t="s">
        <v>110</v>
      </c>
      <c r="E406" s="70">
        <f>210000+10000</f>
        <v>220000</v>
      </c>
      <c r="F406" s="70">
        <v>593300</v>
      </c>
      <c r="G406" s="70">
        <f>SUM(E406:F406)</f>
        <v>813300</v>
      </c>
      <c r="H406" s="70"/>
      <c r="I406" s="70">
        <f>SUM(G406:H406)</f>
        <v>813300</v>
      </c>
      <c r="J406" s="70"/>
      <c r="K406" s="70">
        <f>SUM(I406:J406)</f>
        <v>813300</v>
      </c>
      <c r="L406" s="70">
        <v>23630</v>
      </c>
      <c r="M406" s="70">
        <f>SUM(K406:L406)</f>
        <v>836930</v>
      </c>
      <c r="N406" s="70">
        <v>95130</v>
      </c>
      <c r="O406" s="70">
        <f>SUM(M406:N406)</f>
        <v>932060</v>
      </c>
      <c r="P406" s="70"/>
      <c r="Q406" s="70">
        <f>SUM(O406:P406)</f>
        <v>932060</v>
      </c>
      <c r="R406" s="70">
        <v>414780</v>
      </c>
      <c r="S406" s="70">
        <f>SUM(Q406:R406)</f>
        <v>1346840</v>
      </c>
    </row>
    <row r="407" spans="1:19" s="26" customFormat="1" ht="21" customHeight="1">
      <c r="A407" s="66"/>
      <c r="B407" s="80"/>
      <c r="C407" s="84">
        <v>4430</v>
      </c>
      <c r="D407" s="41" t="s">
        <v>92</v>
      </c>
      <c r="E407" s="79">
        <v>5520</v>
      </c>
      <c r="F407" s="79"/>
      <c r="G407" s="70">
        <f>SUM(E407:F407)</f>
        <v>5520</v>
      </c>
      <c r="H407" s="79"/>
      <c r="I407" s="70">
        <f>SUM(G407:H407)</f>
        <v>5520</v>
      </c>
      <c r="J407" s="79"/>
      <c r="K407" s="70">
        <f>SUM(I407:J407)</f>
        <v>5520</v>
      </c>
      <c r="L407" s="79"/>
      <c r="M407" s="70">
        <f>SUM(K407:L407)</f>
        <v>5520</v>
      </c>
      <c r="N407" s="79"/>
      <c r="O407" s="70">
        <f>SUM(M407:N407)</f>
        <v>5520</v>
      </c>
      <c r="P407" s="79"/>
      <c r="Q407" s="70">
        <f>SUM(O407:P407)</f>
        <v>5520</v>
      </c>
      <c r="R407" s="79"/>
      <c r="S407" s="70">
        <f>SUM(Q407:R407)</f>
        <v>5520</v>
      </c>
    </row>
    <row r="408" spans="1:19" s="152" customFormat="1" ht="30.75" customHeight="1">
      <c r="A408" s="192">
        <v>853</v>
      </c>
      <c r="B408" s="193"/>
      <c r="C408" s="168"/>
      <c r="D408" s="169" t="s">
        <v>343</v>
      </c>
      <c r="E408" s="194">
        <f aca="true" t="shared" si="228" ref="E408:K408">SUM(E409,E411)</f>
        <v>0</v>
      </c>
      <c r="F408" s="194">
        <f t="shared" si="228"/>
        <v>397041</v>
      </c>
      <c r="G408" s="194">
        <f t="shared" si="228"/>
        <v>397041</v>
      </c>
      <c r="H408" s="194">
        <f t="shared" si="228"/>
        <v>0</v>
      </c>
      <c r="I408" s="194">
        <f t="shared" si="228"/>
        <v>397041</v>
      </c>
      <c r="J408" s="194">
        <f t="shared" si="228"/>
        <v>0</v>
      </c>
      <c r="K408" s="194">
        <f t="shared" si="228"/>
        <v>397041</v>
      </c>
      <c r="L408" s="194">
        <f aca="true" t="shared" si="229" ref="L408:Q408">SUM(L409,L411)</f>
        <v>0</v>
      </c>
      <c r="M408" s="194">
        <f t="shared" si="229"/>
        <v>397041</v>
      </c>
      <c r="N408" s="194">
        <f t="shared" si="229"/>
        <v>0</v>
      </c>
      <c r="O408" s="194">
        <f t="shared" si="229"/>
        <v>397041</v>
      </c>
      <c r="P408" s="194">
        <f t="shared" si="229"/>
        <v>300147</v>
      </c>
      <c r="Q408" s="194">
        <f t="shared" si="229"/>
        <v>697188</v>
      </c>
      <c r="R408" s="194">
        <f>SUM(R409,R411)</f>
        <v>0</v>
      </c>
      <c r="S408" s="194">
        <f>SUM(S409,S411)</f>
        <v>697188</v>
      </c>
    </row>
    <row r="409" spans="1:19" s="26" customFormat="1" ht="29.25" customHeight="1">
      <c r="A409" s="66"/>
      <c r="B409" s="80">
        <v>85311</v>
      </c>
      <c r="C409" s="84"/>
      <c r="D409" s="41" t="s">
        <v>349</v>
      </c>
      <c r="E409" s="79">
        <f aca="true" t="shared" si="230" ref="E409:S409">SUM(E410)</f>
        <v>0</v>
      </c>
      <c r="F409" s="79">
        <f t="shared" si="230"/>
        <v>11837</v>
      </c>
      <c r="G409" s="79">
        <f t="shared" si="230"/>
        <v>11837</v>
      </c>
      <c r="H409" s="79">
        <f t="shared" si="230"/>
        <v>0</v>
      </c>
      <c r="I409" s="79">
        <f t="shared" si="230"/>
        <v>11837</v>
      </c>
      <c r="J409" s="79">
        <f t="shared" si="230"/>
        <v>0</v>
      </c>
      <c r="K409" s="79">
        <f t="shared" si="230"/>
        <v>11837</v>
      </c>
      <c r="L409" s="79">
        <f t="shared" si="230"/>
        <v>0</v>
      </c>
      <c r="M409" s="79">
        <f t="shared" si="230"/>
        <v>11837</v>
      </c>
      <c r="N409" s="79">
        <f t="shared" si="230"/>
        <v>0</v>
      </c>
      <c r="O409" s="79">
        <f t="shared" si="230"/>
        <v>11837</v>
      </c>
      <c r="P409" s="79">
        <f t="shared" si="230"/>
        <v>0</v>
      </c>
      <c r="Q409" s="79">
        <f t="shared" si="230"/>
        <v>11837</v>
      </c>
      <c r="R409" s="79">
        <f t="shared" si="230"/>
        <v>0</v>
      </c>
      <c r="S409" s="79">
        <f t="shared" si="230"/>
        <v>11837</v>
      </c>
    </row>
    <row r="410" spans="1:19" s="26" customFormat="1" ht="40.5" customHeight="1">
      <c r="A410" s="66"/>
      <c r="B410" s="80"/>
      <c r="C410" s="84">
        <v>2710</v>
      </c>
      <c r="D410" s="41" t="s">
        <v>418</v>
      </c>
      <c r="E410" s="79">
        <v>0</v>
      </c>
      <c r="F410" s="79">
        <v>11837</v>
      </c>
      <c r="G410" s="70">
        <f>SUM(E410:F410)</f>
        <v>11837</v>
      </c>
      <c r="H410" s="79"/>
      <c r="I410" s="70">
        <f>SUM(G410:H410)</f>
        <v>11837</v>
      </c>
      <c r="J410" s="79"/>
      <c r="K410" s="70">
        <f>SUM(I410:J410)</f>
        <v>11837</v>
      </c>
      <c r="L410" s="79"/>
      <c r="M410" s="70">
        <f>SUM(K410:L410)</f>
        <v>11837</v>
      </c>
      <c r="N410" s="79"/>
      <c r="O410" s="70">
        <f>SUM(M410:N410)</f>
        <v>11837</v>
      </c>
      <c r="P410" s="79"/>
      <c r="Q410" s="70">
        <f>SUM(O410:P410)</f>
        <v>11837</v>
      </c>
      <c r="R410" s="79"/>
      <c r="S410" s="70">
        <f>SUM(Q410:R410)</f>
        <v>11837</v>
      </c>
    </row>
    <row r="411" spans="1:19" s="26" customFormat="1" ht="21" customHeight="1">
      <c r="A411" s="66"/>
      <c r="B411" s="80">
        <v>85395</v>
      </c>
      <c r="C411" s="84"/>
      <c r="D411" s="41" t="s">
        <v>6</v>
      </c>
      <c r="E411" s="79">
        <f aca="true" t="shared" si="231" ref="E411:K411">SUM(E416:E427)</f>
        <v>0</v>
      </c>
      <c r="F411" s="79">
        <f t="shared" si="231"/>
        <v>385204</v>
      </c>
      <c r="G411" s="79">
        <f t="shared" si="231"/>
        <v>385204</v>
      </c>
      <c r="H411" s="79">
        <f t="shared" si="231"/>
        <v>0</v>
      </c>
      <c r="I411" s="79">
        <f t="shared" si="231"/>
        <v>385204</v>
      </c>
      <c r="J411" s="79">
        <f t="shared" si="231"/>
        <v>0</v>
      </c>
      <c r="K411" s="79">
        <f t="shared" si="231"/>
        <v>385204</v>
      </c>
      <c r="L411" s="79">
        <f>SUM(L416:L427)</f>
        <v>0</v>
      </c>
      <c r="M411" s="79">
        <f>SUM(M416:M427)</f>
        <v>385204</v>
      </c>
      <c r="N411" s="79">
        <f>SUM(N416:N427)</f>
        <v>0</v>
      </c>
      <c r="O411" s="79">
        <f>SUM(O412:O429)</f>
        <v>385204</v>
      </c>
      <c r="P411" s="79">
        <f>SUM(P412:P429)</f>
        <v>300147</v>
      </c>
      <c r="Q411" s="79">
        <f>SUM(Q412:Q429)</f>
        <v>685351</v>
      </c>
      <c r="R411" s="79">
        <f>SUM(R412:R429)</f>
        <v>0</v>
      </c>
      <c r="S411" s="79">
        <f>SUM(S412:S429)</f>
        <v>685351</v>
      </c>
    </row>
    <row r="412" spans="1:19" s="26" customFormat="1" ht="21" customHeight="1">
      <c r="A412" s="66"/>
      <c r="B412" s="80"/>
      <c r="C412" s="84">
        <v>4017</v>
      </c>
      <c r="D412" s="41" t="s">
        <v>82</v>
      </c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>
        <v>0</v>
      </c>
      <c r="P412" s="79">
        <v>105930</v>
      </c>
      <c r="Q412" s="70">
        <f>SUM(O412:P412)</f>
        <v>105930</v>
      </c>
      <c r="R412" s="79"/>
      <c r="S412" s="70">
        <f>SUM(Q412:R412)</f>
        <v>105930</v>
      </c>
    </row>
    <row r="413" spans="1:19" s="26" customFormat="1" ht="21" customHeight="1">
      <c r="A413" s="66"/>
      <c r="B413" s="80"/>
      <c r="C413" s="84">
        <v>4019</v>
      </c>
      <c r="D413" s="41" t="s">
        <v>82</v>
      </c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>
        <v>0</v>
      </c>
      <c r="P413" s="79">
        <v>5608</v>
      </c>
      <c r="Q413" s="70">
        <f>SUM(O413:P413)</f>
        <v>5608</v>
      </c>
      <c r="R413" s="79"/>
      <c r="S413" s="70">
        <f>SUM(Q413:R413)</f>
        <v>5608</v>
      </c>
    </row>
    <row r="414" spans="1:19" s="26" customFormat="1" ht="21" customHeight="1">
      <c r="A414" s="66"/>
      <c r="B414" s="80"/>
      <c r="C414" s="84">
        <v>4047</v>
      </c>
      <c r="D414" s="41" t="s">
        <v>83</v>
      </c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>
        <v>0</v>
      </c>
      <c r="P414" s="79">
        <v>6295</v>
      </c>
      <c r="Q414" s="70">
        <f>SUM(O414:P414)</f>
        <v>6295</v>
      </c>
      <c r="R414" s="79"/>
      <c r="S414" s="70">
        <f>SUM(Q414:R414)</f>
        <v>6295</v>
      </c>
    </row>
    <row r="415" spans="1:19" s="26" customFormat="1" ht="21" customHeight="1">
      <c r="A415" s="66"/>
      <c r="B415" s="80"/>
      <c r="C415" s="84">
        <v>4049</v>
      </c>
      <c r="D415" s="41" t="s">
        <v>83</v>
      </c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>
        <v>0</v>
      </c>
      <c r="P415" s="79">
        <v>333</v>
      </c>
      <c r="Q415" s="70">
        <f>SUM(O415:P415)</f>
        <v>333</v>
      </c>
      <c r="R415" s="79"/>
      <c r="S415" s="70">
        <f>SUM(Q415:R415)</f>
        <v>333</v>
      </c>
    </row>
    <row r="416" spans="1:19" s="26" customFormat="1" ht="21" customHeight="1">
      <c r="A416" s="66"/>
      <c r="B416" s="80"/>
      <c r="C416" s="84">
        <v>4117</v>
      </c>
      <c r="D416" s="41" t="s">
        <v>84</v>
      </c>
      <c r="E416" s="79">
        <v>0</v>
      </c>
      <c r="F416" s="79">
        <v>19980</v>
      </c>
      <c r="G416" s="70">
        <f>SUM(E416:F416)</f>
        <v>19980</v>
      </c>
      <c r="H416" s="79"/>
      <c r="I416" s="70">
        <f>SUM(G416:H416)</f>
        <v>19980</v>
      </c>
      <c r="J416" s="79"/>
      <c r="K416" s="70">
        <f>SUM(I416:J416)</f>
        <v>19980</v>
      </c>
      <c r="L416" s="79"/>
      <c r="M416" s="70">
        <f>SUM(K416:L416)</f>
        <v>19980</v>
      </c>
      <c r="N416" s="79"/>
      <c r="O416" s="70">
        <f>SUM(M416:N416)</f>
        <v>19980</v>
      </c>
      <c r="P416" s="79">
        <v>17159</v>
      </c>
      <c r="Q416" s="70">
        <f>SUM(O416:P416)</f>
        <v>37139</v>
      </c>
      <c r="R416" s="79"/>
      <c r="S416" s="70">
        <f>SUM(Q416:R416)</f>
        <v>37139</v>
      </c>
    </row>
    <row r="417" spans="1:19" s="26" customFormat="1" ht="21" customHeight="1">
      <c r="A417" s="66"/>
      <c r="B417" s="80"/>
      <c r="C417" s="84">
        <v>4119</v>
      </c>
      <c r="D417" s="41" t="s">
        <v>84</v>
      </c>
      <c r="E417" s="79">
        <v>0</v>
      </c>
      <c r="F417" s="79">
        <v>3527</v>
      </c>
      <c r="G417" s="70">
        <f aca="true" t="shared" si="232" ref="G417:G427">SUM(E417:F417)</f>
        <v>3527</v>
      </c>
      <c r="H417" s="79"/>
      <c r="I417" s="70">
        <f aca="true" t="shared" si="233" ref="I417:I427">SUM(G417:H417)</f>
        <v>3527</v>
      </c>
      <c r="J417" s="79"/>
      <c r="K417" s="70">
        <f aca="true" t="shared" si="234" ref="K417:K427">SUM(I417:J417)</f>
        <v>3527</v>
      </c>
      <c r="L417" s="79"/>
      <c r="M417" s="70">
        <f aca="true" t="shared" si="235" ref="M417:M427">SUM(K417:L417)</f>
        <v>3527</v>
      </c>
      <c r="N417" s="79"/>
      <c r="O417" s="70">
        <f aca="true" t="shared" si="236" ref="O417:O427">SUM(M417:N417)</f>
        <v>3527</v>
      </c>
      <c r="P417" s="79">
        <v>909</v>
      </c>
      <c r="Q417" s="70">
        <f aca="true" t="shared" si="237" ref="Q417:Q429">SUM(O417:P417)</f>
        <v>4436</v>
      </c>
      <c r="R417" s="79"/>
      <c r="S417" s="70">
        <f aca="true" t="shared" si="238" ref="S417:S429">SUM(Q417:R417)</f>
        <v>4436</v>
      </c>
    </row>
    <row r="418" spans="1:19" s="26" customFormat="1" ht="21" customHeight="1">
      <c r="A418" s="66"/>
      <c r="B418" s="80"/>
      <c r="C418" s="84">
        <v>4127</v>
      </c>
      <c r="D418" s="41" t="s">
        <v>85</v>
      </c>
      <c r="E418" s="79">
        <v>0</v>
      </c>
      <c r="F418" s="79">
        <v>3216</v>
      </c>
      <c r="G418" s="70">
        <f t="shared" si="232"/>
        <v>3216</v>
      </c>
      <c r="H418" s="79"/>
      <c r="I418" s="70">
        <f t="shared" si="233"/>
        <v>3216</v>
      </c>
      <c r="J418" s="79"/>
      <c r="K418" s="70">
        <f t="shared" si="234"/>
        <v>3216</v>
      </c>
      <c r="L418" s="79"/>
      <c r="M418" s="70">
        <f t="shared" si="235"/>
        <v>3216</v>
      </c>
      <c r="N418" s="79"/>
      <c r="O418" s="70">
        <f t="shared" si="236"/>
        <v>3216</v>
      </c>
      <c r="P418" s="79">
        <v>2669</v>
      </c>
      <c r="Q418" s="70">
        <f t="shared" si="237"/>
        <v>5885</v>
      </c>
      <c r="R418" s="79"/>
      <c r="S418" s="70">
        <f t="shared" si="238"/>
        <v>5885</v>
      </c>
    </row>
    <row r="419" spans="1:19" s="26" customFormat="1" ht="21" customHeight="1">
      <c r="A419" s="66"/>
      <c r="B419" s="80"/>
      <c r="C419" s="84">
        <v>4129</v>
      </c>
      <c r="D419" s="41" t="s">
        <v>85</v>
      </c>
      <c r="E419" s="79">
        <v>0</v>
      </c>
      <c r="F419" s="79">
        <v>567</v>
      </c>
      <c r="G419" s="70">
        <f t="shared" si="232"/>
        <v>567</v>
      </c>
      <c r="H419" s="79"/>
      <c r="I419" s="70">
        <f t="shared" si="233"/>
        <v>567</v>
      </c>
      <c r="J419" s="79"/>
      <c r="K419" s="70">
        <f t="shared" si="234"/>
        <v>567</v>
      </c>
      <c r="L419" s="79"/>
      <c r="M419" s="70">
        <f t="shared" si="235"/>
        <v>567</v>
      </c>
      <c r="N419" s="79"/>
      <c r="O419" s="70">
        <f t="shared" si="236"/>
        <v>567</v>
      </c>
      <c r="P419" s="79">
        <v>141</v>
      </c>
      <c r="Q419" s="70">
        <f t="shared" si="237"/>
        <v>708</v>
      </c>
      <c r="R419" s="79"/>
      <c r="S419" s="70">
        <f t="shared" si="238"/>
        <v>708</v>
      </c>
    </row>
    <row r="420" spans="1:19" s="26" customFormat="1" ht="21" customHeight="1">
      <c r="A420" s="66"/>
      <c r="B420" s="80"/>
      <c r="C420" s="84">
        <v>4177</v>
      </c>
      <c r="D420" s="41" t="s">
        <v>193</v>
      </c>
      <c r="E420" s="79">
        <v>0</v>
      </c>
      <c r="F420" s="79">
        <v>143140</v>
      </c>
      <c r="G420" s="70">
        <f t="shared" si="232"/>
        <v>143140</v>
      </c>
      <c r="H420" s="79"/>
      <c r="I420" s="70">
        <f t="shared" si="233"/>
        <v>143140</v>
      </c>
      <c r="J420" s="79"/>
      <c r="K420" s="70">
        <f t="shared" si="234"/>
        <v>143140</v>
      </c>
      <c r="L420" s="79"/>
      <c r="M420" s="70">
        <f t="shared" si="235"/>
        <v>143140</v>
      </c>
      <c r="N420" s="79"/>
      <c r="O420" s="70">
        <f t="shared" si="236"/>
        <v>143140</v>
      </c>
      <c r="P420" s="79"/>
      <c r="Q420" s="70">
        <f t="shared" si="237"/>
        <v>143140</v>
      </c>
      <c r="R420" s="79"/>
      <c r="S420" s="70">
        <f t="shared" si="238"/>
        <v>143140</v>
      </c>
    </row>
    <row r="421" spans="1:19" s="26" customFormat="1" ht="21" customHeight="1">
      <c r="A421" s="66"/>
      <c r="B421" s="80"/>
      <c r="C421" s="84">
        <v>4179</v>
      </c>
      <c r="D421" s="41" t="s">
        <v>193</v>
      </c>
      <c r="E421" s="79">
        <v>0</v>
      </c>
      <c r="F421" s="79">
        <v>25260</v>
      </c>
      <c r="G421" s="70">
        <f t="shared" si="232"/>
        <v>25260</v>
      </c>
      <c r="H421" s="79"/>
      <c r="I421" s="70">
        <f t="shared" si="233"/>
        <v>25260</v>
      </c>
      <c r="J421" s="79"/>
      <c r="K421" s="70">
        <f t="shared" si="234"/>
        <v>25260</v>
      </c>
      <c r="L421" s="79"/>
      <c r="M421" s="70">
        <f t="shared" si="235"/>
        <v>25260</v>
      </c>
      <c r="N421" s="79"/>
      <c r="O421" s="70">
        <f t="shared" si="236"/>
        <v>25260</v>
      </c>
      <c r="P421" s="79"/>
      <c r="Q421" s="70">
        <f t="shared" si="237"/>
        <v>25260</v>
      </c>
      <c r="R421" s="79"/>
      <c r="S421" s="70">
        <f t="shared" si="238"/>
        <v>25260</v>
      </c>
    </row>
    <row r="422" spans="1:19" s="26" customFormat="1" ht="21" customHeight="1">
      <c r="A422" s="66"/>
      <c r="B422" s="80"/>
      <c r="C422" s="84">
        <v>4217</v>
      </c>
      <c r="D422" s="41" t="s">
        <v>90</v>
      </c>
      <c r="E422" s="79"/>
      <c r="F422" s="79"/>
      <c r="G422" s="70"/>
      <c r="H422" s="79"/>
      <c r="I422" s="70"/>
      <c r="J422" s="79"/>
      <c r="K422" s="70"/>
      <c r="L422" s="79"/>
      <c r="M422" s="70"/>
      <c r="N422" s="79"/>
      <c r="O422" s="70">
        <v>0</v>
      </c>
      <c r="P422" s="79">
        <v>7115</v>
      </c>
      <c r="Q422" s="70">
        <f t="shared" si="237"/>
        <v>7115</v>
      </c>
      <c r="R422" s="79"/>
      <c r="S422" s="70">
        <f t="shared" si="238"/>
        <v>7115</v>
      </c>
    </row>
    <row r="423" spans="1:19" s="26" customFormat="1" ht="21" customHeight="1">
      <c r="A423" s="66"/>
      <c r="B423" s="80"/>
      <c r="C423" s="84">
        <v>4219</v>
      </c>
      <c r="D423" s="41" t="s">
        <v>90</v>
      </c>
      <c r="E423" s="79"/>
      <c r="F423" s="79"/>
      <c r="G423" s="70"/>
      <c r="H423" s="79"/>
      <c r="I423" s="70"/>
      <c r="J423" s="79"/>
      <c r="K423" s="70"/>
      <c r="L423" s="79"/>
      <c r="M423" s="70"/>
      <c r="N423" s="79"/>
      <c r="O423" s="70">
        <v>0</v>
      </c>
      <c r="P423" s="79">
        <v>377</v>
      </c>
      <c r="Q423" s="70">
        <f t="shared" si="237"/>
        <v>377</v>
      </c>
      <c r="R423" s="79"/>
      <c r="S423" s="70">
        <f t="shared" si="238"/>
        <v>377</v>
      </c>
    </row>
    <row r="424" spans="1:19" s="26" customFormat="1" ht="22.5">
      <c r="A424" s="66"/>
      <c r="B424" s="80"/>
      <c r="C424" s="84">
        <v>4247</v>
      </c>
      <c r="D424" s="41" t="s">
        <v>121</v>
      </c>
      <c r="E424" s="79">
        <v>0</v>
      </c>
      <c r="F424" s="79">
        <v>158941</v>
      </c>
      <c r="G424" s="70">
        <f t="shared" si="232"/>
        <v>158941</v>
      </c>
      <c r="H424" s="79"/>
      <c r="I424" s="70">
        <f t="shared" si="233"/>
        <v>158941</v>
      </c>
      <c r="J424" s="79"/>
      <c r="K424" s="70">
        <f t="shared" si="234"/>
        <v>158941</v>
      </c>
      <c r="L424" s="79"/>
      <c r="M424" s="70">
        <f t="shared" si="235"/>
        <v>158941</v>
      </c>
      <c r="N424" s="79"/>
      <c r="O424" s="70">
        <f t="shared" si="236"/>
        <v>158941</v>
      </c>
      <c r="P424" s="79"/>
      <c r="Q424" s="70">
        <f t="shared" si="237"/>
        <v>158941</v>
      </c>
      <c r="R424" s="79"/>
      <c r="S424" s="70">
        <f t="shared" si="238"/>
        <v>158941</v>
      </c>
    </row>
    <row r="425" spans="1:19" s="26" customFormat="1" ht="22.5">
      <c r="A425" s="66"/>
      <c r="B425" s="80"/>
      <c r="C425" s="84">
        <v>4249</v>
      </c>
      <c r="D425" s="41" t="s">
        <v>121</v>
      </c>
      <c r="E425" s="79">
        <v>0</v>
      </c>
      <c r="F425" s="79">
        <v>28048</v>
      </c>
      <c r="G425" s="70">
        <f t="shared" si="232"/>
        <v>28048</v>
      </c>
      <c r="H425" s="79"/>
      <c r="I425" s="70">
        <f t="shared" si="233"/>
        <v>28048</v>
      </c>
      <c r="J425" s="79"/>
      <c r="K425" s="70">
        <f t="shared" si="234"/>
        <v>28048</v>
      </c>
      <c r="L425" s="79"/>
      <c r="M425" s="70">
        <f t="shared" si="235"/>
        <v>28048</v>
      </c>
      <c r="N425" s="79"/>
      <c r="O425" s="70">
        <f t="shared" si="236"/>
        <v>28048</v>
      </c>
      <c r="P425" s="79"/>
      <c r="Q425" s="70">
        <f t="shared" si="237"/>
        <v>28048</v>
      </c>
      <c r="R425" s="79"/>
      <c r="S425" s="70">
        <f t="shared" si="238"/>
        <v>28048</v>
      </c>
    </row>
    <row r="426" spans="1:19" s="26" customFormat="1" ht="21" customHeight="1">
      <c r="A426" s="66"/>
      <c r="B426" s="80"/>
      <c r="C426" s="84">
        <v>4307</v>
      </c>
      <c r="D426" s="41" t="s">
        <v>77</v>
      </c>
      <c r="E426" s="79">
        <v>0</v>
      </c>
      <c r="F426" s="79">
        <v>2146</v>
      </c>
      <c r="G426" s="70">
        <f t="shared" si="232"/>
        <v>2146</v>
      </c>
      <c r="H426" s="79"/>
      <c r="I426" s="70">
        <f t="shared" si="233"/>
        <v>2146</v>
      </c>
      <c r="J426" s="79"/>
      <c r="K426" s="70">
        <f t="shared" si="234"/>
        <v>2146</v>
      </c>
      <c r="L426" s="79"/>
      <c r="M426" s="70">
        <f t="shared" si="235"/>
        <v>2146</v>
      </c>
      <c r="N426" s="79"/>
      <c r="O426" s="70">
        <f t="shared" si="236"/>
        <v>2146</v>
      </c>
      <c r="P426" s="79">
        <v>143898</v>
      </c>
      <c r="Q426" s="70">
        <f t="shared" si="237"/>
        <v>146044</v>
      </c>
      <c r="R426" s="79"/>
      <c r="S426" s="70">
        <f t="shared" si="238"/>
        <v>146044</v>
      </c>
    </row>
    <row r="427" spans="1:19" s="26" customFormat="1" ht="21" customHeight="1">
      <c r="A427" s="66"/>
      <c r="B427" s="80"/>
      <c r="C427" s="84">
        <v>4309</v>
      </c>
      <c r="D427" s="41" t="s">
        <v>77</v>
      </c>
      <c r="E427" s="79">
        <v>0</v>
      </c>
      <c r="F427" s="79">
        <v>379</v>
      </c>
      <c r="G427" s="70">
        <f t="shared" si="232"/>
        <v>379</v>
      </c>
      <c r="H427" s="79"/>
      <c r="I427" s="70">
        <f t="shared" si="233"/>
        <v>379</v>
      </c>
      <c r="J427" s="79"/>
      <c r="K427" s="70">
        <f t="shared" si="234"/>
        <v>379</v>
      </c>
      <c r="L427" s="79"/>
      <c r="M427" s="70">
        <f t="shared" si="235"/>
        <v>379</v>
      </c>
      <c r="N427" s="79"/>
      <c r="O427" s="70">
        <f t="shared" si="236"/>
        <v>379</v>
      </c>
      <c r="P427" s="79">
        <v>7618</v>
      </c>
      <c r="Q427" s="70">
        <f t="shared" si="237"/>
        <v>7997</v>
      </c>
      <c r="R427" s="79"/>
      <c r="S427" s="70">
        <f t="shared" si="238"/>
        <v>7997</v>
      </c>
    </row>
    <row r="428" spans="1:19" s="26" customFormat="1" ht="22.5">
      <c r="A428" s="66"/>
      <c r="B428" s="80"/>
      <c r="C428" s="84">
        <v>4447</v>
      </c>
      <c r="D428" s="41" t="s">
        <v>86</v>
      </c>
      <c r="E428" s="79"/>
      <c r="F428" s="79"/>
      <c r="G428" s="70"/>
      <c r="H428" s="79"/>
      <c r="I428" s="70"/>
      <c r="J428" s="79"/>
      <c r="K428" s="70"/>
      <c r="L428" s="79"/>
      <c r="M428" s="70"/>
      <c r="N428" s="79"/>
      <c r="O428" s="70">
        <v>0</v>
      </c>
      <c r="P428" s="79">
        <v>1990</v>
      </c>
      <c r="Q428" s="70">
        <f t="shared" si="237"/>
        <v>1990</v>
      </c>
      <c r="R428" s="79"/>
      <c r="S428" s="70">
        <f t="shared" si="238"/>
        <v>1990</v>
      </c>
    </row>
    <row r="429" spans="1:19" s="26" customFormat="1" ht="22.5">
      <c r="A429" s="66"/>
      <c r="B429" s="80"/>
      <c r="C429" s="84">
        <v>4449</v>
      </c>
      <c r="D429" s="41" t="s">
        <v>86</v>
      </c>
      <c r="E429" s="79"/>
      <c r="F429" s="79"/>
      <c r="G429" s="70"/>
      <c r="H429" s="79"/>
      <c r="I429" s="70"/>
      <c r="J429" s="79"/>
      <c r="K429" s="70"/>
      <c r="L429" s="79"/>
      <c r="M429" s="70"/>
      <c r="N429" s="79"/>
      <c r="O429" s="70">
        <v>0</v>
      </c>
      <c r="P429" s="79">
        <v>105</v>
      </c>
      <c r="Q429" s="70">
        <f t="shared" si="237"/>
        <v>105</v>
      </c>
      <c r="R429" s="79"/>
      <c r="S429" s="70">
        <f t="shared" si="238"/>
        <v>105</v>
      </c>
    </row>
    <row r="430" spans="1:19" s="9" customFormat="1" ht="21" customHeight="1">
      <c r="A430" s="36" t="s">
        <v>120</v>
      </c>
      <c r="B430" s="37"/>
      <c r="C430" s="38"/>
      <c r="D430" s="39" t="s">
        <v>58</v>
      </c>
      <c r="E430" s="40">
        <f aca="true" t="shared" si="239" ref="E430:K430">SUM(E431,E442,E455,E451,E448)</f>
        <v>1054818</v>
      </c>
      <c r="F430" s="40">
        <f t="shared" si="239"/>
        <v>40000</v>
      </c>
      <c r="G430" s="40">
        <f t="shared" si="239"/>
        <v>1094818</v>
      </c>
      <c r="H430" s="40">
        <f t="shared" si="239"/>
        <v>8000</v>
      </c>
      <c r="I430" s="40">
        <f t="shared" si="239"/>
        <v>1102818</v>
      </c>
      <c r="J430" s="40">
        <f t="shared" si="239"/>
        <v>14405</v>
      </c>
      <c r="K430" s="40">
        <f t="shared" si="239"/>
        <v>1117223</v>
      </c>
      <c r="L430" s="40">
        <f aca="true" t="shared" si="240" ref="L430:Q430">SUM(L431,L442,L455,L451,L448)</f>
        <v>238136</v>
      </c>
      <c r="M430" s="40">
        <f t="shared" si="240"/>
        <v>1355359</v>
      </c>
      <c r="N430" s="40">
        <f t="shared" si="240"/>
        <v>0</v>
      </c>
      <c r="O430" s="40">
        <f t="shared" si="240"/>
        <v>1355359</v>
      </c>
      <c r="P430" s="40">
        <f t="shared" si="240"/>
        <v>0</v>
      </c>
      <c r="Q430" s="40">
        <f t="shared" si="240"/>
        <v>1355359</v>
      </c>
      <c r="R430" s="40">
        <f>SUM(R431,R442,R455,R451,R448)</f>
        <v>89340</v>
      </c>
      <c r="S430" s="40">
        <f>SUM(S431,S442,S455,S451,S448)</f>
        <v>1444699</v>
      </c>
    </row>
    <row r="431" spans="1:19" s="26" customFormat="1" ht="21" customHeight="1">
      <c r="A431" s="66"/>
      <c r="B431" s="80">
        <v>85401</v>
      </c>
      <c r="C431" s="84"/>
      <c r="D431" s="41" t="s">
        <v>59</v>
      </c>
      <c r="E431" s="79">
        <f aca="true" t="shared" si="241" ref="E431:K431">SUM(E432:E441)</f>
        <v>667795</v>
      </c>
      <c r="F431" s="79">
        <f t="shared" si="241"/>
        <v>0</v>
      </c>
      <c r="G431" s="79">
        <f t="shared" si="241"/>
        <v>667795</v>
      </c>
      <c r="H431" s="79">
        <f t="shared" si="241"/>
        <v>0</v>
      </c>
      <c r="I431" s="79">
        <f t="shared" si="241"/>
        <v>667795</v>
      </c>
      <c r="J431" s="79">
        <f t="shared" si="241"/>
        <v>14405</v>
      </c>
      <c r="K431" s="79">
        <f t="shared" si="241"/>
        <v>682200</v>
      </c>
      <c r="L431" s="79">
        <f aca="true" t="shared" si="242" ref="L431:Q431">SUM(L432:L441)</f>
        <v>0</v>
      </c>
      <c r="M431" s="79">
        <f t="shared" si="242"/>
        <v>682200</v>
      </c>
      <c r="N431" s="79">
        <f t="shared" si="242"/>
        <v>0</v>
      </c>
      <c r="O431" s="79">
        <f t="shared" si="242"/>
        <v>682200</v>
      </c>
      <c r="P431" s="79">
        <f t="shared" si="242"/>
        <v>0</v>
      </c>
      <c r="Q431" s="79">
        <f t="shared" si="242"/>
        <v>682200</v>
      </c>
      <c r="R431" s="79">
        <f>SUM(R432:R441)</f>
        <v>0</v>
      </c>
      <c r="S431" s="79">
        <f>SUM(S432:S441)</f>
        <v>682200</v>
      </c>
    </row>
    <row r="432" spans="1:19" s="26" customFormat="1" ht="21" customHeight="1">
      <c r="A432" s="66"/>
      <c r="B432" s="80"/>
      <c r="C432" s="84">
        <v>3020</v>
      </c>
      <c r="D432" s="41" t="s">
        <v>206</v>
      </c>
      <c r="E432" s="79">
        <v>11211</v>
      </c>
      <c r="F432" s="79"/>
      <c r="G432" s="79">
        <f>SUM(E432:F432)</f>
        <v>11211</v>
      </c>
      <c r="H432" s="79"/>
      <c r="I432" s="79">
        <f>SUM(G432:H432)</f>
        <v>11211</v>
      </c>
      <c r="J432" s="79">
        <v>78</v>
      </c>
      <c r="K432" s="79">
        <f>SUM(I432:J432)</f>
        <v>11289</v>
      </c>
      <c r="L432" s="79"/>
      <c r="M432" s="79">
        <f>SUM(K432:L432)</f>
        <v>11289</v>
      </c>
      <c r="N432" s="79"/>
      <c r="O432" s="79">
        <f>SUM(M432:N432)</f>
        <v>11289</v>
      </c>
      <c r="P432" s="79"/>
      <c r="Q432" s="79">
        <f>SUM(O432:P432)</f>
        <v>11289</v>
      </c>
      <c r="R432" s="79"/>
      <c r="S432" s="79">
        <f>SUM(Q432:R432)</f>
        <v>11289</v>
      </c>
    </row>
    <row r="433" spans="1:19" s="26" customFormat="1" ht="21" customHeight="1">
      <c r="A433" s="66"/>
      <c r="B433" s="80"/>
      <c r="C433" s="84">
        <v>4010</v>
      </c>
      <c r="D433" s="41" t="s">
        <v>82</v>
      </c>
      <c r="E433" s="79">
        <v>481039</v>
      </c>
      <c r="F433" s="79"/>
      <c r="G433" s="79">
        <f aca="true" t="shared" si="243" ref="G433:G441">SUM(E433:F433)</f>
        <v>481039</v>
      </c>
      <c r="H433" s="79"/>
      <c r="I433" s="79">
        <f aca="true" t="shared" si="244" ref="I433:I441">SUM(G433:H433)</f>
        <v>481039</v>
      </c>
      <c r="J433" s="79">
        <f>2456+12239</f>
        <v>14695</v>
      </c>
      <c r="K433" s="79">
        <f aca="true" t="shared" si="245" ref="K433:K441">SUM(I433:J433)</f>
        <v>495734</v>
      </c>
      <c r="L433" s="79"/>
      <c r="M433" s="79">
        <f aca="true" t="shared" si="246" ref="M433:M441">SUM(K433:L433)</f>
        <v>495734</v>
      </c>
      <c r="N433" s="79"/>
      <c r="O433" s="79">
        <f aca="true" t="shared" si="247" ref="O433:O441">SUM(M433:N433)</f>
        <v>495734</v>
      </c>
      <c r="P433" s="79"/>
      <c r="Q433" s="79">
        <f aca="true" t="shared" si="248" ref="Q433:Q441">SUM(O433:P433)</f>
        <v>495734</v>
      </c>
      <c r="R433" s="79"/>
      <c r="S433" s="79">
        <f aca="true" t="shared" si="249" ref="S433:S441">SUM(Q433:R433)</f>
        <v>495734</v>
      </c>
    </row>
    <row r="434" spans="1:19" s="26" customFormat="1" ht="21" customHeight="1">
      <c r="A434" s="66"/>
      <c r="B434" s="80"/>
      <c r="C434" s="84">
        <v>4040</v>
      </c>
      <c r="D434" s="41" t="s">
        <v>83</v>
      </c>
      <c r="E434" s="79">
        <v>34288</v>
      </c>
      <c r="F434" s="79"/>
      <c r="G434" s="79">
        <f t="shared" si="243"/>
        <v>34288</v>
      </c>
      <c r="H434" s="79"/>
      <c r="I434" s="79">
        <f t="shared" si="244"/>
        <v>34288</v>
      </c>
      <c r="J434" s="79">
        <v>-2545</v>
      </c>
      <c r="K434" s="79">
        <f t="shared" si="245"/>
        <v>31743</v>
      </c>
      <c r="L434" s="79"/>
      <c r="M434" s="79">
        <f t="shared" si="246"/>
        <v>31743</v>
      </c>
      <c r="N434" s="79"/>
      <c r="O434" s="79">
        <f t="shared" si="247"/>
        <v>31743</v>
      </c>
      <c r="P434" s="79"/>
      <c r="Q434" s="79">
        <f t="shared" si="248"/>
        <v>31743</v>
      </c>
      <c r="R434" s="79"/>
      <c r="S434" s="79">
        <f t="shared" si="249"/>
        <v>31743</v>
      </c>
    </row>
    <row r="435" spans="1:19" s="26" customFormat="1" ht="21" customHeight="1">
      <c r="A435" s="66"/>
      <c r="B435" s="80"/>
      <c r="C435" s="84">
        <v>4110</v>
      </c>
      <c r="D435" s="41" t="s">
        <v>84</v>
      </c>
      <c r="E435" s="79">
        <v>79635</v>
      </c>
      <c r="F435" s="79"/>
      <c r="G435" s="79">
        <f t="shared" si="243"/>
        <v>79635</v>
      </c>
      <c r="H435" s="79"/>
      <c r="I435" s="79">
        <f t="shared" si="244"/>
        <v>79635</v>
      </c>
      <c r="J435" s="79">
        <v>1870</v>
      </c>
      <c r="K435" s="79">
        <f t="shared" si="245"/>
        <v>81505</v>
      </c>
      <c r="L435" s="79"/>
      <c r="M435" s="79">
        <f t="shared" si="246"/>
        <v>81505</v>
      </c>
      <c r="N435" s="79"/>
      <c r="O435" s="79">
        <f t="shared" si="247"/>
        <v>81505</v>
      </c>
      <c r="P435" s="79"/>
      <c r="Q435" s="79">
        <f t="shared" si="248"/>
        <v>81505</v>
      </c>
      <c r="R435" s="79"/>
      <c r="S435" s="79">
        <f t="shared" si="249"/>
        <v>81505</v>
      </c>
    </row>
    <row r="436" spans="1:19" s="26" customFormat="1" ht="21" customHeight="1">
      <c r="A436" s="66"/>
      <c r="B436" s="80"/>
      <c r="C436" s="84">
        <v>4120</v>
      </c>
      <c r="D436" s="41" t="s">
        <v>85</v>
      </c>
      <c r="E436" s="79">
        <v>12842</v>
      </c>
      <c r="F436" s="79"/>
      <c r="G436" s="79">
        <f t="shared" si="243"/>
        <v>12842</v>
      </c>
      <c r="H436" s="79"/>
      <c r="I436" s="79">
        <f t="shared" si="244"/>
        <v>12842</v>
      </c>
      <c r="J436" s="79">
        <v>307</v>
      </c>
      <c r="K436" s="79">
        <f t="shared" si="245"/>
        <v>13149</v>
      </c>
      <c r="L436" s="79"/>
      <c r="M436" s="79">
        <f t="shared" si="246"/>
        <v>13149</v>
      </c>
      <c r="N436" s="79"/>
      <c r="O436" s="79">
        <f t="shared" si="247"/>
        <v>13149</v>
      </c>
      <c r="P436" s="79"/>
      <c r="Q436" s="79">
        <f t="shared" si="248"/>
        <v>13149</v>
      </c>
      <c r="R436" s="79"/>
      <c r="S436" s="79">
        <f t="shared" si="249"/>
        <v>13149</v>
      </c>
    </row>
    <row r="437" spans="1:19" s="26" customFormat="1" ht="21" customHeight="1">
      <c r="A437" s="66"/>
      <c r="B437" s="80"/>
      <c r="C437" s="84">
        <v>4210</v>
      </c>
      <c r="D437" s="41" t="s">
        <v>90</v>
      </c>
      <c r="E437" s="79">
        <v>7720</v>
      </c>
      <c r="F437" s="79"/>
      <c r="G437" s="79">
        <f t="shared" si="243"/>
        <v>7720</v>
      </c>
      <c r="H437" s="79"/>
      <c r="I437" s="79">
        <f t="shared" si="244"/>
        <v>7720</v>
      </c>
      <c r="J437" s="79"/>
      <c r="K437" s="79">
        <f t="shared" si="245"/>
        <v>7720</v>
      </c>
      <c r="L437" s="79"/>
      <c r="M437" s="79">
        <f t="shared" si="246"/>
        <v>7720</v>
      </c>
      <c r="N437" s="79"/>
      <c r="O437" s="79">
        <f t="shared" si="247"/>
        <v>7720</v>
      </c>
      <c r="P437" s="79"/>
      <c r="Q437" s="79">
        <f t="shared" si="248"/>
        <v>7720</v>
      </c>
      <c r="R437" s="79"/>
      <c r="S437" s="79">
        <f t="shared" si="249"/>
        <v>7720</v>
      </c>
    </row>
    <row r="438" spans="1:19" s="26" customFormat="1" ht="21" customHeight="1">
      <c r="A438" s="66"/>
      <c r="B438" s="80"/>
      <c r="C438" s="84">
        <v>4240</v>
      </c>
      <c r="D438" s="41" t="s">
        <v>121</v>
      </c>
      <c r="E438" s="79">
        <v>4020</v>
      </c>
      <c r="F438" s="79"/>
      <c r="G438" s="79">
        <f t="shared" si="243"/>
        <v>4020</v>
      </c>
      <c r="H438" s="79"/>
      <c r="I438" s="79">
        <f t="shared" si="244"/>
        <v>4020</v>
      </c>
      <c r="J438" s="79"/>
      <c r="K438" s="79">
        <f t="shared" si="245"/>
        <v>4020</v>
      </c>
      <c r="L438" s="79"/>
      <c r="M438" s="79">
        <f t="shared" si="246"/>
        <v>4020</v>
      </c>
      <c r="N438" s="79"/>
      <c r="O438" s="79">
        <f t="shared" si="247"/>
        <v>4020</v>
      </c>
      <c r="P438" s="79"/>
      <c r="Q438" s="79">
        <f t="shared" si="248"/>
        <v>4020</v>
      </c>
      <c r="R438" s="79"/>
      <c r="S438" s="79">
        <f t="shared" si="249"/>
        <v>4020</v>
      </c>
    </row>
    <row r="439" spans="1:19" s="26" customFormat="1" ht="21" customHeight="1">
      <c r="A439" s="66"/>
      <c r="B439" s="80"/>
      <c r="C439" s="84">
        <v>4280</v>
      </c>
      <c r="D439" s="41" t="s">
        <v>198</v>
      </c>
      <c r="E439" s="79">
        <v>500</v>
      </c>
      <c r="F439" s="79"/>
      <c r="G439" s="79">
        <f t="shared" si="243"/>
        <v>500</v>
      </c>
      <c r="H439" s="79"/>
      <c r="I439" s="79">
        <f t="shared" si="244"/>
        <v>500</v>
      </c>
      <c r="J439" s="79"/>
      <c r="K439" s="79">
        <f t="shared" si="245"/>
        <v>500</v>
      </c>
      <c r="L439" s="79"/>
      <c r="M439" s="79">
        <f t="shared" si="246"/>
        <v>500</v>
      </c>
      <c r="N439" s="79"/>
      <c r="O439" s="79">
        <f t="shared" si="247"/>
        <v>500</v>
      </c>
      <c r="P439" s="79"/>
      <c r="Q439" s="79">
        <f t="shared" si="248"/>
        <v>500</v>
      </c>
      <c r="R439" s="79"/>
      <c r="S439" s="79">
        <f t="shared" si="249"/>
        <v>500</v>
      </c>
    </row>
    <row r="440" spans="1:19" s="26" customFormat="1" ht="21" customHeight="1">
      <c r="A440" s="66"/>
      <c r="B440" s="80"/>
      <c r="C440" s="84">
        <v>4300</v>
      </c>
      <c r="D440" s="41" t="s">
        <v>77</v>
      </c>
      <c r="E440" s="79">
        <v>200</v>
      </c>
      <c r="F440" s="79"/>
      <c r="G440" s="79">
        <f t="shared" si="243"/>
        <v>200</v>
      </c>
      <c r="H440" s="79"/>
      <c r="I440" s="79">
        <f t="shared" si="244"/>
        <v>200</v>
      </c>
      <c r="J440" s="79"/>
      <c r="K440" s="79">
        <f t="shared" si="245"/>
        <v>200</v>
      </c>
      <c r="L440" s="79"/>
      <c r="M440" s="79">
        <f t="shared" si="246"/>
        <v>200</v>
      </c>
      <c r="N440" s="79"/>
      <c r="O440" s="79">
        <f t="shared" si="247"/>
        <v>200</v>
      </c>
      <c r="P440" s="79"/>
      <c r="Q440" s="79">
        <f t="shared" si="248"/>
        <v>200</v>
      </c>
      <c r="R440" s="79"/>
      <c r="S440" s="79">
        <f t="shared" si="249"/>
        <v>200</v>
      </c>
    </row>
    <row r="441" spans="1:19" s="26" customFormat="1" ht="22.5">
      <c r="A441" s="66"/>
      <c r="B441" s="80"/>
      <c r="C441" s="84">
        <v>4440</v>
      </c>
      <c r="D441" s="41" t="s">
        <v>86</v>
      </c>
      <c r="E441" s="79">
        <v>36340</v>
      </c>
      <c r="F441" s="79"/>
      <c r="G441" s="79">
        <f t="shared" si="243"/>
        <v>36340</v>
      </c>
      <c r="H441" s="79"/>
      <c r="I441" s="79">
        <f t="shared" si="244"/>
        <v>36340</v>
      </c>
      <c r="J441" s="79"/>
      <c r="K441" s="79">
        <f t="shared" si="245"/>
        <v>36340</v>
      </c>
      <c r="L441" s="79"/>
      <c r="M441" s="79">
        <f t="shared" si="246"/>
        <v>36340</v>
      </c>
      <c r="N441" s="79"/>
      <c r="O441" s="79">
        <f t="shared" si="247"/>
        <v>36340</v>
      </c>
      <c r="P441" s="79"/>
      <c r="Q441" s="79">
        <f t="shared" si="248"/>
        <v>36340</v>
      </c>
      <c r="R441" s="79"/>
      <c r="S441" s="79">
        <f t="shared" si="249"/>
        <v>36340</v>
      </c>
    </row>
    <row r="442" spans="1:19" s="26" customFormat="1" ht="33.75">
      <c r="A442" s="66"/>
      <c r="B442" s="80" t="s">
        <v>123</v>
      </c>
      <c r="C442" s="84"/>
      <c r="D442" s="41" t="s">
        <v>156</v>
      </c>
      <c r="E442" s="79">
        <f aca="true" t="shared" si="250" ref="E442:K442">SUM(E444:E447)</f>
        <v>12400</v>
      </c>
      <c r="F442" s="79">
        <f t="shared" si="250"/>
        <v>40000</v>
      </c>
      <c r="G442" s="79">
        <f t="shared" si="250"/>
        <v>52400</v>
      </c>
      <c r="H442" s="79">
        <f t="shared" si="250"/>
        <v>0</v>
      </c>
      <c r="I442" s="79">
        <f t="shared" si="250"/>
        <v>52400</v>
      </c>
      <c r="J442" s="79">
        <f t="shared" si="250"/>
        <v>0</v>
      </c>
      <c r="K442" s="79">
        <f t="shared" si="250"/>
        <v>52400</v>
      </c>
      <c r="L442" s="79">
        <f>SUM(L444:L447)</f>
        <v>0</v>
      </c>
      <c r="M442" s="79">
        <f>SUM(M444:M447)</f>
        <v>52400</v>
      </c>
      <c r="N442" s="79">
        <f>SUM(N444:N447)</f>
        <v>0</v>
      </c>
      <c r="O442" s="79">
        <f>SUM(O444:O447)</f>
        <v>52400</v>
      </c>
      <c r="P442" s="79">
        <f>SUM(P444:P447)</f>
        <v>0</v>
      </c>
      <c r="Q442" s="79">
        <f>SUM(Q443:Q447)</f>
        <v>52400</v>
      </c>
      <c r="R442" s="79">
        <f>SUM(R443:R447)</f>
        <v>40000</v>
      </c>
      <c r="S442" s="79">
        <f>SUM(S443:S447)</f>
        <v>92400</v>
      </c>
    </row>
    <row r="443" spans="1:19" s="26" customFormat="1" ht="56.25">
      <c r="A443" s="66"/>
      <c r="B443" s="80"/>
      <c r="C443" s="84">
        <v>2360</v>
      </c>
      <c r="D443" s="41" t="s">
        <v>485</v>
      </c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>
        <v>0</v>
      </c>
      <c r="R443" s="79">
        <f>32100+7900</f>
        <v>40000</v>
      </c>
      <c r="S443" s="79">
        <f>SUM(Q443:R443)</f>
        <v>40000</v>
      </c>
    </row>
    <row r="444" spans="1:19" s="26" customFormat="1" ht="21" customHeight="1">
      <c r="A444" s="66"/>
      <c r="B444" s="80"/>
      <c r="C444" s="84">
        <v>4210</v>
      </c>
      <c r="D444" s="41" t="s">
        <v>90</v>
      </c>
      <c r="E444" s="79">
        <v>7400</v>
      </c>
      <c r="F444" s="79"/>
      <c r="G444" s="79">
        <f>SUM(E444:F444)</f>
        <v>7400</v>
      </c>
      <c r="H444" s="79"/>
      <c r="I444" s="79">
        <f>SUM(G444:H444)</f>
        <v>7400</v>
      </c>
      <c r="J444" s="79"/>
      <c r="K444" s="79">
        <f>SUM(I444:J444)</f>
        <v>7400</v>
      </c>
      <c r="L444" s="79"/>
      <c r="M444" s="79">
        <f>SUM(K444:L444)</f>
        <v>7400</v>
      </c>
      <c r="N444" s="79">
        <v>2800</v>
      </c>
      <c r="O444" s="79">
        <f>SUM(M444:N444)</f>
        <v>10200</v>
      </c>
      <c r="P444" s="79"/>
      <c r="Q444" s="79">
        <f>SUM(O444:P444)</f>
        <v>10200</v>
      </c>
      <c r="R444" s="79"/>
      <c r="S444" s="79">
        <f>SUM(Q444:R444)</f>
        <v>10200</v>
      </c>
    </row>
    <row r="445" spans="1:19" s="26" customFormat="1" ht="21" customHeight="1">
      <c r="A445" s="66"/>
      <c r="B445" s="80"/>
      <c r="C445" s="84">
        <v>4270</v>
      </c>
      <c r="D445" s="41" t="s">
        <v>76</v>
      </c>
      <c r="E445" s="79">
        <v>5000</v>
      </c>
      <c r="F445" s="79"/>
      <c r="G445" s="79">
        <f>SUM(E445:F445)</f>
        <v>5000</v>
      </c>
      <c r="H445" s="79"/>
      <c r="I445" s="79">
        <f>SUM(G445:H445)</f>
        <v>5000</v>
      </c>
      <c r="J445" s="79"/>
      <c r="K445" s="79">
        <f>SUM(I445:J445)</f>
        <v>5000</v>
      </c>
      <c r="L445" s="79"/>
      <c r="M445" s="79">
        <f>SUM(K445:L445)</f>
        <v>5000</v>
      </c>
      <c r="N445" s="79">
        <v>-3000</v>
      </c>
      <c r="O445" s="79">
        <f>SUM(M445:N445)</f>
        <v>2000</v>
      </c>
      <c r="P445" s="79"/>
      <c r="Q445" s="79">
        <f>SUM(O445:P445)</f>
        <v>2000</v>
      </c>
      <c r="R445" s="79"/>
      <c r="S445" s="79">
        <f>SUM(Q445:R445)</f>
        <v>2000</v>
      </c>
    </row>
    <row r="446" spans="1:19" s="26" customFormat="1" ht="21" customHeight="1">
      <c r="A446" s="66"/>
      <c r="B446" s="80"/>
      <c r="C446" s="84">
        <v>4300</v>
      </c>
      <c r="D446" s="41" t="s">
        <v>77</v>
      </c>
      <c r="E446" s="79"/>
      <c r="F446" s="79"/>
      <c r="G446" s="79"/>
      <c r="H446" s="79"/>
      <c r="I446" s="79"/>
      <c r="J446" s="79"/>
      <c r="K446" s="79"/>
      <c r="L446" s="79"/>
      <c r="M446" s="79">
        <v>0</v>
      </c>
      <c r="N446" s="79">
        <v>200</v>
      </c>
      <c r="O446" s="79">
        <f>SUM(M446:N446)</f>
        <v>200</v>
      </c>
      <c r="P446" s="79"/>
      <c r="Q446" s="79">
        <f>SUM(O446:P446)</f>
        <v>200</v>
      </c>
      <c r="R446" s="79"/>
      <c r="S446" s="79">
        <f>SUM(Q446:R446)</f>
        <v>200</v>
      </c>
    </row>
    <row r="447" spans="1:19" s="26" customFormat="1" ht="21" customHeight="1">
      <c r="A447" s="66"/>
      <c r="B447" s="80"/>
      <c r="C447" s="84">
        <v>6050</v>
      </c>
      <c r="D447" s="14" t="s">
        <v>71</v>
      </c>
      <c r="E447" s="79">
        <v>0</v>
      </c>
      <c r="F447" s="79">
        <v>40000</v>
      </c>
      <c r="G447" s="79">
        <f>SUM(E447:F447)</f>
        <v>40000</v>
      </c>
      <c r="H447" s="79"/>
      <c r="I447" s="79">
        <f>SUM(G447:H447)</f>
        <v>40000</v>
      </c>
      <c r="J447" s="79"/>
      <c r="K447" s="79">
        <f>SUM(I447:J447)</f>
        <v>40000</v>
      </c>
      <c r="L447" s="79"/>
      <c r="M447" s="79">
        <f>SUM(K447:L447)</f>
        <v>40000</v>
      </c>
      <c r="N447" s="79"/>
      <c r="O447" s="79">
        <f>SUM(M447:N447)</f>
        <v>40000</v>
      </c>
      <c r="P447" s="79"/>
      <c r="Q447" s="79">
        <f>SUM(O447:P447)</f>
        <v>40000</v>
      </c>
      <c r="R447" s="79"/>
      <c r="S447" s="79">
        <f>SUM(Q447:R447)</f>
        <v>40000</v>
      </c>
    </row>
    <row r="448" spans="1:19" s="26" customFormat="1" ht="21" customHeight="1">
      <c r="A448" s="84"/>
      <c r="B448" s="85">
        <v>85415</v>
      </c>
      <c r="C448" s="84"/>
      <c r="D448" s="41" t="s">
        <v>220</v>
      </c>
      <c r="E448" s="79">
        <f aca="true" t="shared" si="251" ref="E448:P448">SUM(E449)</f>
        <v>100000</v>
      </c>
      <c r="F448" s="79">
        <f t="shared" si="251"/>
        <v>0</v>
      </c>
      <c r="G448" s="79">
        <f t="shared" si="251"/>
        <v>100000</v>
      </c>
      <c r="H448" s="79">
        <f t="shared" si="251"/>
        <v>0</v>
      </c>
      <c r="I448" s="79">
        <f t="shared" si="251"/>
        <v>100000</v>
      </c>
      <c r="J448" s="79">
        <f t="shared" si="251"/>
        <v>0</v>
      </c>
      <c r="K448" s="79">
        <f t="shared" si="251"/>
        <v>100000</v>
      </c>
      <c r="L448" s="79">
        <f t="shared" si="251"/>
        <v>238136</v>
      </c>
      <c r="M448" s="79">
        <f t="shared" si="251"/>
        <v>338136</v>
      </c>
      <c r="N448" s="79">
        <f t="shared" si="251"/>
        <v>0</v>
      </c>
      <c r="O448" s="79">
        <f t="shared" si="251"/>
        <v>338136</v>
      </c>
      <c r="P448" s="79">
        <f t="shared" si="251"/>
        <v>0</v>
      </c>
      <c r="Q448" s="79">
        <f>SUM(Q449:Q450)</f>
        <v>338136</v>
      </c>
      <c r="R448" s="79">
        <f>SUM(R449:R450)</f>
        <v>49340</v>
      </c>
      <c r="S448" s="79">
        <f>SUM(S449:S450)</f>
        <v>387476</v>
      </c>
    </row>
    <row r="449" spans="1:19" s="26" customFormat="1" ht="21" customHeight="1">
      <c r="A449" s="84"/>
      <c r="B449" s="85"/>
      <c r="C449" s="84">
        <v>3240</v>
      </c>
      <c r="D449" s="41" t="s">
        <v>221</v>
      </c>
      <c r="E449" s="79">
        <v>100000</v>
      </c>
      <c r="F449" s="79"/>
      <c r="G449" s="79">
        <f>SUM(E449:F449)</f>
        <v>100000</v>
      </c>
      <c r="H449" s="79"/>
      <c r="I449" s="79">
        <f>SUM(G449:H449)</f>
        <v>100000</v>
      </c>
      <c r="J449" s="79"/>
      <c r="K449" s="79">
        <f>SUM(I449:J449)</f>
        <v>100000</v>
      </c>
      <c r="L449" s="79">
        <v>238136</v>
      </c>
      <c r="M449" s="79">
        <f>SUM(K449:L449)</f>
        <v>338136</v>
      </c>
      <c r="N449" s="79"/>
      <c r="O449" s="79">
        <f>SUM(M449:N449)</f>
        <v>338136</v>
      </c>
      <c r="P449" s="79"/>
      <c r="Q449" s="79">
        <f>SUM(O449:P449)</f>
        <v>338136</v>
      </c>
      <c r="R449" s="79"/>
      <c r="S449" s="79">
        <f>SUM(Q449:R449)</f>
        <v>338136</v>
      </c>
    </row>
    <row r="450" spans="1:19" s="26" customFormat="1" ht="21" customHeight="1">
      <c r="A450" s="84"/>
      <c r="B450" s="85"/>
      <c r="C450" s="84">
        <v>3260</v>
      </c>
      <c r="D450" s="41" t="s">
        <v>482</v>
      </c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>
        <v>0</v>
      </c>
      <c r="R450" s="79">
        <v>49340</v>
      </c>
      <c r="S450" s="79">
        <f>SUM(Q450:R450)</f>
        <v>49340</v>
      </c>
    </row>
    <row r="451" spans="1:19" s="26" customFormat="1" ht="21" customHeight="1">
      <c r="A451" s="84"/>
      <c r="B451" s="85">
        <v>85446</v>
      </c>
      <c r="C451" s="84"/>
      <c r="D451" s="41" t="s">
        <v>145</v>
      </c>
      <c r="E451" s="79">
        <f aca="true" t="shared" si="252" ref="E451:K451">SUM(E452:E454)</f>
        <v>4238</v>
      </c>
      <c r="F451" s="79">
        <f t="shared" si="252"/>
        <v>0</v>
      </c>
      <c r="G451" s="79">
        <f t="shared" si="252"/>
        <v>4238</v>
      </c>
      <c r="H451" s="79">
        <f t="shared" si="252"/>
        <v>0</v>
      </c>
      <c r="I451" s="79">
        <f t="shared" si="252"/>
        <v>4238</v>
      </c>
      <c r="J451" s="79">
        <f t="shared" si="252"/>
        <v>0</v>
      </c>
      <c r="K451" s="79">
        <f t="shared" si="252"/>
        <v>4238</v>
      </c>
      <c r="L451" s="79">
        <f aca="true" t="shared" si="253" ref="L451:Q451">SUM(L452:L454)</f>
        <v>0</v>
      </c>
      <c r="M451" s="79">
        <f t="shared" si="253"/>
        <v>4238</v>
      </c>
      <c r="N451" s="79">
        <f t="shared" si="253"/>
        <v>0</v>
      </c>
      <c r="O451" s="79">
        <f t="shared" si="253"/>
        <v>4238</v>
      </c>
      <c r="P451" s="79">
        <f t="shared" si="253"/>
        <v>0</v>
      </c>
      <c r="Q451" s="79">
        <f t="shared" si="253"/>
        <v>4238</v>
      </c>
      <c r="R451" s="79">
        <f>SUM(R452:R454)</f>
        <v>0</v>
      </c>
      <c r="S451" s="79">
        <f>SUM(S452:S454)</f>
        <v>4238</v>
      </c>
    </row>
    <row r="452" spans="1:19" s="26" customFormat="1" ht="21" customHeight="1">
      <c r="A452" s="84"/>
      <c r="B452" s="85"/>
      <c r="C452" s="84">
        <v>4300</v>
      </c>
      <c r="D452" s="41" t="s">
        <v>77</v>
      </c>
      <c r="E452" s="79">
        <v>3599</v>
      </c>
      <c r="F452" s="79">
        <v>-2241</v>
      </c>
      <c r="G452" s="79">
        <f>SUM(E452:F452)</f>
        <v>1358</v>
      </c>
      <c r="H452" s="79"/>
      <c r="I452" s="79">
        <f>SUM(G452:H452)</f>
        <v>1358</v>
      </c>
      <c r="J452" s="79">
        <v>-827</v>
      </c>
      <c r="K452" s="79">
        <f>SUM(I452:J452)</f>
        <v>531</v>
      </c>
      <c r="L452" s="79"/>
      <c r="M452" s="79">
        <f>SUM(K452:L452)</f>
        <v>531</v>
      </c>
      <c r="N452" s="79"/>
      <c r="O452" s="79">
        <f>SUM(M452:N452)</f>
        <v>531</v>
      </c>
      <c r="P452" s="79"/>
      <c r="Q452" s="79">
        <f>SUM(O452:P452)</f>
        <v>531</v>
      </c>
      <c r="R452" s="79"/>
      <c r="S452" s="79">
        <f>SUM(Q452:R452)</f>
        <v>531</v>
      </c>
    </row>
    <row r="453" spans="1:19" s="26" customFormat="1" ht="21" customHeight="1">
      <c r="A453" s="84"/>
      <c r="B453" s="85"/>
      <c r="C453" s="84">
        <v>4410</v>
      </c>
      <c r="D453" s="41" t="s">
        <v>88</v>
      </c>
      <c r="E453" s="79">
        <v>0</v>
      </c>
      <c r="F453" s="79">
        <v>1487</v>
      </c>
      <c r="G453" s="79">
        <f>SUM(E453:F453)</f>
        <v>1487</v>
      </c>
      <c r="H453" s="79"/>
      <c r="I453" s="79">
        <f>SUM(G453:H453)</f>
        <v>1487</v>
      </c>
      <c r="J453" s="79"/>
      <c r="K453" s="79">
        <f>SUM(I453:J453)</f>
        <v>1487</v>
      </c>
      <c r="L453" s="79"/>
      <c r="M453" s="79">
        <f>SUM(K453:L453)</f>
        <v>1487</v>
      </c>
      <c r="N453" s="79"/>
      <c r="O453" s="79">
        <f>SUM(M453:N453)</f>
        <v>1487</v>
      </c>
      <c r="P453" s="79"/>
      <c r="Q453" s="79">
        <f>SUM(O453:P453)</f>
        <v>1487</v>
      </c>
      <c r="R453" s="79"/>
      <c r="S453" s="79">
        <f>SUM(Q453:R453)</f>
        <v>1487</v>
      </c>
    </row>
    <row r="454" spans="1:19" s="26" customFormat="1" ht="22.5">
      <c r="A454" s="84"/>
      <c r="B454" s="85"/>
      <c r="C454" s="84">
        <v>4700</v>
      </c>
      <c r="D454" s="41" t="s">
        <v>239</v>
      </c>
      <c r="E454" s="79">
        <v>639</v>
      </c>
      <c r="F454" s="79">
        <v>754</v>
      </c>
      <c r="G454" s="79">
        <f>SUM(E454:F454)</f>
        <v>1393</v>
      </c>
      <c r="H454" s="79"/>
      <c r="I454" s="79">
        <f>SUM(G454:H454)</f>
        <v>1393</v>
      </c>
      <c r="J454" s="79">
        <v>827</v>
      </c>
      <c r="K454" s="79">
        <f>SUM(I454:J454)</f>
        <v>2220</v>
      </c>
      <c r="L454" s="79"/>
      <c r="M454" s="79">
        <f>SUM(K454:L454)</f>
        <v>2220</v>
      </c>
      <c r="N454" s="79"/>
      <c r="O454" s="79">
        <f>SUM(M454:N454)</f>
        <v>2220</v>
      </c>
      <c r="P454" s="79"/>
      <c r="Q454" s="79">
        <f>SUM(O454:P454)</f>
        <v>2220</v>
      </c>
      <c r="R454" s="79"/>
      <c r="S454" s="79">
        <f>SUM(Q454:R454)</f>
        <v>2220</v>
      </c>
    </row>
    <row r="455" spans="1:19" s="26" customFormat="1" ht="21.75" customHeight="1">
      <c r="A455" s="84"/>
      <c r="B455" s="85">
        <v>85495</v>
      </c>
      <c r="C455" s="84"/>
      <c r="D455" s="41" t="s">
        <v>6</v>
      </c>
      <c r="E455" s="79">
        <f aca="true" t="shared" si="254" ref="E455:S455">SUM(E456:E456)</f>
        <v>270385</v>
      </c>
      <c r="F455" s="79">
        <f t="shared" si="254"/>
        <v>0</v>
      </c>
      <c r="G455" s="79">
        <f t="shared" si="254"/>
        <v>270385</v>
      </c>
      <c r="H455" s="79">
        <f t="shared" si="254"/>
        <v>8000</v>
      </c>
      <c r="I455" s="79">
        <f t="shared" si="254"/>
        <v>278385</v>
      </c>
      <c r="J455" s="79">
        <f t="shared" si="254"/>
        <v>0</v>
      </c>
      <c r="K455" s="79">
        <f t="shared" si="254"/>
        <v>278385</v>
      </c>
      <c r="L455" s="79">
        <f t="shared" si="254"/>
        <v>0</v>
      </c>
      <c r="M455" s="79">
        <f t="shared" si="254"/>
        <v>278385</v>
      </c>
      <c r="N455" s="79">
        <f t="shared" si="254"/>
        <v>0</v>
      </c>
      <c r="O455" s="79">
        <f t="shared" si="254"/>
        <v>278385</v>
      </c>
      <c r="P455" s="79">
        <f t="shared" si="254"/>
        <v>0</v>
      </c>
      <c r="Q455" s="79">
        <f t="shared" si="254"/>
        <v>278385</v>
      </c>
      <c r="R455" s="79">
        <f t="shared" si="254"/>
        <v>0</v>
      </c>
      <c r="S455" s="79">
        <f t="shared" si="254"/>
        <v>278385</v>
      </c>
    </row>
    <row r="456" spans="1:19" s="26" customFormat="1" ht="45">
      <c r="A456" s="84"/>
      <c r="B456" s="85"/>
      <c r="C456" s="84">
        <v>2320</v>
      </c>
      <c r="D456" s="41" t="s">
        <v>148</v>
      </c>
      <c r="E456" s="79">
        <f>233290+37095</f>
        <v>270385</v>
      </c>
      <c r="F456" s="79"/>
      <c r="G456" s="79">
        <f>SUM(E456:F456)</f>
        <v>270385</v>
      </c>
      <c r="H456" s="79">
        <f>5000+3000</f>
        <v>8000</v>
      </c>
      <c r="I456" s="79">
        <f>SUM(G456:H456)</f>
        <v>278385</v>
      </c>
      <c r="J456" s="79"/>
      <c r="K456" s="79">
        <f>SUM(I456:J456)</f>
        <v>278385</v>
      </c>
      <c r="L456" s="79"/>
      <c r="M456" s="79">
        <f>SUM(K456:L456)</f>
        <v>278385</v>
      </c>
      <c r="N456" s="79"/>
      <c r="O456" s="79">
        <f>SUM(M456:N456)</f>
        <v>278385</v>
      </c>
      <c r="P456" s="79"/>
      <c r="Q456" s="79">
        <f>SUM(O456:P456)</f>
        <v>278385</v>
      </c>
      <c r="R456" s="79"/>
      <c r="S456" s="79">
        <f>SUM(Q456:R456)</f>
        <v>278385</v>
      </c>
    </row>
    <row r="457" spans="1:19" s="9" customFormat="1" ht="24">
      <c r="A457" s="36" t="s">
        <v>124</v>
      </c>
      <c r="B457" s="37"/>
      <c r="C457" s="38"/>
      <c r="D457" s="39" t="s">
        <v>60</v>
      </c>
      <c r="E457" s="40">
        <f aca="true" t="shared" si="255" ref="E457:M457">SUM(E458,E461,E464,E470,E472,E484,E468,E478)</f>
        <v>3097335</v>
      </c>
      <c r="F457" s="40">
        <f t="shared" si="255"/>
        <v>355000</v>
      </c>
      <c r="G457" s="40">
        <f t="shared" si="255"/>
        <v>3452335</v>
      </c>
      <c r="H457" s="40">
        <f t="shared" si="255"/>
        <v>0</v>
      </c>
      <c r="I457" s="40">
        <f t="shared" si="255"/>
        <v>3452335</v>
      </c>
      <c r="J457" s="40">
        <f t="shared" si="255"/>
        <v>0</v>
      </c>
      <c r="K457" s="40">
        <f t="shared" si="255"/>
        <v>3452335</v>
      </c>
      <c r="L457" s="40">
        <f t="shared" si="255"/>
        <v>-12</v>
      </c>
      <c r="M457" s="40">
        <f t="shared" si="255"/>
        <v>3452323</v>
      </c>
      <c r="N457" s="40">
        <f aca="true" t="shared" si="256" ref="N457:S457">SUM(N458,N461,N464,N470,N472,N484,N468,N478)</f>
        <v>0</v>
      </c>
      <c r="O457" s="40">
        <f t="shared" si="256"/>
        <v>3452323</v>
      </c>
      <c r="P457" s="40">
        <f t="shared" si="256"/>
        <v>850</v>
      </c>
      <c r="Q457" s="40">
        <f t="shared" si="256"/>
        <v>3453173</v>
      </c>
      <c r="R457" s="40">
        <f t="shared" si="256"/>
        <v>0</v>
      </c>
      <c r="S457" s="40">
        <f t="shared" si="256"/>
        <v>3453173</v>
      </c>
    </row>
    <row r="458" spans="1:19" s="26" customFormat="1" ht="21" customHeight="1">
      <c r="A458" s="66"/>
      <c r="B458" s="80" t="s">
        <v>125</v>
      </c>
      <c r="C458" s="84"/>
      <c r="D458" s="41" t="s">
        <v>61</v>
      </c>
      <c r="E458" s="79">
        <f aca="true" t="shared" si="257" ref="E458:K458">SUM(E459:E460)</f>
        <v>260000</v>
      </c>
      <c r="F458" s="79">
        <f t="shared" si="257"/>
        <v>280000</v>
      </c>
      <c r="G458" s="79">
        <f t="shared" si="257"/>
        <v>540000</v>
      </c>
      <c r="H458" s="79">
        <f t="shared" si="257"/>
        <v>0</v>
      </c>
      <c r="I458" s="79">
        <f t="shared" si="257"/>
        <v>540000</v>
      </c>
      <c r="J458" s="79">
        <f t="shared" si="257"/>
        <v>0</v>
      </c>
      <c r="K458" s="79">
        <f t="shared" si="257"/>
        <v>540000</v>
      </c>
      <c r="L458" s="79">
        <f aca="true" t="shared" si="258" ref="L458:Q458">SUM(L459:L460)</f>
        <v>0</v>
      </c>
      <c r="M458" s="79">
        <f t="shared" si="258"/>
        <v>540000</v>
      </c>
      <c r="N458" s="79">
        <f t="shared" si="258"/>
        <v>0</v>
      </c>
      <c r="O458" s="79">
        <f t="shared" si="258"/>
        <v>540000</v>
      </c>
      <c r="P458" s="79">
        <f t="shared" si="258"/>
        <v>0</v>
      </c>
      <c r="Q458" s="79">
        <f t="shared" si="258"/>
        <v>540000</v>
      </c>
      <c r="R458" s="79">
        <f>SUM(R459:R460)</f>
        <v>0</v>
      </c>
      <c r="S458" s="79">
        <f>SUM(S459:S460)</f>
        <v>540000</v>
      </c>
    </row>
    <row r="459" spans="1:19" s="26" customFormat="1" ht="21" customHeight="1">
      <c r="A459" s="66"/>
      <c r="B459" s="80"/>
      <c r="C459" s="66">
        <v>4300</v>
      </c>
      <c r="D459" s="41" t="s">
        <v>77</v>
      </c>
      <c r="E459" s="79">
        <v>160000</v>
      </c>
      <c r="F459" s="79">
        <v>30000</v>
      </c>
      <c r="G459" s="79">
        <f>SUM(E459:F459)</f>
        <v>190000</v>
      </c>
      <c r="H459" s="79"/>
      <c r="I459" s="79">
        <f>SUM(G459:H459)</f>
        <v>190000</v>
      </c>
      <c r="J459" s="79"/>
      <c r="K459" s="79">
        <f>SUM(I459:J459)</f>
        <v>190000</v>
      </c>
      <c r="L459" s="79"/>
      <c r="M459" s="79">
        <f>SUM(K459:L459)</f>
        <v>190000</v>
      </c>
      <c r="N459" s="79"/>
      <c r="O459" s="79">
        <f>SUM(M459:N459)</f>
        <v>190000</v>
      </c>
      <c r="P459" s="79"/>
      <c r="Q459" s="79">
        <f>SUM(O459:P459)</f>
        <v>190000</v>
      </c>
      <c r="R459" s="79"/>
      <c r="S459" s="79">
        <f>SUM(Q459:R459)</f>
        <v>190000</v>
      </c>
    </row>
    <row r="460" spans="1:19" s="26" customFormat="1" ht="21" customHeight="1">
      <c r="A460" s="66"/>
      <c r="B460" s="80"/>
      <c r="C460" s="66">
        <v>6050</v>
      </c>
      <c r="D460" s="14" t="s">
        <v>71</v>
      </c>
      <c r="E460" s="79">
        <v>100000</v>
      </c>
      <c r="F460" s="79">
        <f>-100000+100000+50000+200000</f>
        <v>250000</v>
      </c>
      <c r="G460" s="79">
        <f>SUM(E460:F460)</f>
        <v>350000</v>
      </c>
      <c r="H460" s="79"/>
      <c r="I460" s="79">
        <f>SUM(G460:H460)</f>
        <v>350000</v>
      </c>
      <c r="J460" s="79"/>
      <c r="K460" s="79">
        <f>SUM(I460:J460)</f>
        <v>350000</v>
      </c>
      <c r="L460" s="79"/>
      <c r="M460" s="79">
        <f>SUM(K460:L460)</f>
        <v>350000</v>
      </c>
      <c r="N460" s="79"/>
      <c r="O460" s="79">
        <f>SUM(M460:N460)</f>
        <v>350000</v>
      </c>
      <c r="P460" s="79"/>
      <c r="Q460" s="79">
        <f>SUM(O460:P460)</f>
        <v>350000</v>
      </c>
      <c r="R460" s="79"/>
      <c r="S460" s="79">
        <f>SUM(Q460:R460)</f>
        <v>350000</v>
      </c>
    </row>
    <row r="461" spans="1:19" s="26" customFormat="1" ht="21" customHeight="1">
      <c r="A461" s="66"/>
      <c r="B461" s="80" t="s">
        <v>126</v>
      </c>
      <c r="C461" s="84"/>
      <c r="D461" s="41" t="s">
        <v>127</v>
      </c>
      <c r="E461" s="79">
        <f aca="true" t="shared" si="259" ref="E461:K461">SUM(E462:E463)</f>
        <v>811870</v>
      </c>
      <c r="F461" s="79">
        <f t="shared" si="259"/>
        <v>0</v>
      </c>
      <c r="G461" s="79">
        <f t="shared" si="259"/>
        <v>811870</v>
      </c>
      <c r="H461" s="79">
        <f t="shared" si="259"/>
        <v>0</v>
      </c>
      <c r="I461" s="79">
        <f t="shared" si="259"/>
        <v>811870</v>
      </c>
      <c r="J461" s="79">
        <f t="shared" si="259"/>
        <v>0</v>
      </c>
      <c r="K461" s="79">
        <f t="shared" si="259"/>
        <v>811870</v>
      </c>
      <c r="L461" s="79">
        <f aca="true" t="shared" si="260" ref="L461:Q461">SUM(L462:L463)</f>
        <v>0</v>
      </c>
      <c r="M461" s="79">
        <f t="shared" si="260"/>
        <v>811870</v>
      </c>
      <c r="N461" s="79">
        <f t="shared" si="260"/>
        <v>0</v>
      </c>
      <c r="O461" s="79">
        <f t="shared" si="260"/>
        <v>811870</v>
      </c>
      <c r="P461" s="79">
        <f t="shared" si="260"/>
        <v>-181</v>
      </c>
      <c r="Q461" s="79">
        <f t="shared" si="260"/>
        <v>811689</v>
      </c>
      <c r="R461" s="79">
        <f>SUM(R462:R463)</f>
        <v>0</v>
      </c>
      <c r="S461" s="79">
        <f>SUM(S462:S463)</f>
        <v>811689</v>
      </c>
    </row>
    <row r="462" spans="1:19" s="26" customFormat="1" ht="21" customHeight="1">
      <c r="A462" s="66"/>
      <c r="B462" s="80"/>
      <c r="C462" s="84">
        <v>4210</v>
      </c>
      <c r="D462" s="41" t="s">
        <v>90</v>
      </c>
      <c r="E462" s="79">
        <v>100</v>
      </c>
      <c r="F462" s="79"/>
      <c r="G462" s="79">
        <f>SUM(E462:F462)</f>
        <v>100</v>
      </c>
      <c r="H462" s="79"/>
      <c r="I462" s="79">
        <f>SUM(G462:H462)</f>
        <v>100</v>
      </c>
      <c r="J462" s="79"/>
      <c r="K462" s="79">
        <f>SUM(I462:J462)</f>
        <v>100</v>
      </c>
      <c r="L462" s="79"/>
      <c r="M462" s="79">
        <f>SUM(K462:L462)</f>
        <v>100</v>
      </c>
      <c r="N462" s="79"/>
      <c r="O462" s="79">
        <f>SUM(M462:N462)</f>
        <v>100</v>
      </c>
      <c r="P462" s="79"/>
      <c r="Q462" s="79">
        <f>SUM(O462:P462)</f>
        <v>100</v>
      </c>
      <c r="R462" s="79"/>
      <c r="S462" s="79">
        <f>SUM(Q462:R462)</f>
        <v>100</v>
      </c>
    </row>
    <row r="463" spans="1:19" s="26" customFormat="1" ht="21" customHeight="1">
      <c r="A463" s="66"/>
      <c r="B463" s="80"/>
      <c r="C463" s="84">
        <v>4300</v>
      </c>
      <c r="D463" s="88" t="s">
        <v>77</v>
      </c>
      <c r="E463" s="79">
        <f>810000+1560+210</f>
        <v>811770</v>
      </c>
      <c r="F463" s="79"/>
      <c r="G463" s="79">
        <f>SUM(E463:F463)</f>
        <v>811770</v>
      </c>
      <c r="H463" s="79"/>
      <c r="I463" s="79">
        <f>SUM(G463:H463)</f>
        <v>811770</v>
      </c>
      <c r="J463" s="79"/>
      <c r="K463" s="79">
        <f>SUM(I463:J463)</f>
        <v>811770</v>
      </c>
      <c r="L463" s="79"/>
      <c r="M463" s="79">
        <f>SUM(K463:L463)</f>
        <v>811770</v>
      </c>
      <c r="N463" s="79"/>
      <c r="O463" s="79">
        <f>SUM(M463:N463)</f>
        <v>811770</v>
      </c>
      <c r="P463" s="79">
        <v>-181</v>
      </c>
      <c r="Q463" s="79">
        <f>SUM(O463:P463)</f>
        <v>811589</v>
      </c>
      <c r="R463" s="79"/>
      <c r="S463" s="79">
        <f>SUM(Q463:R463)</f>
        <v>811589</v>
      </c>
    </row>
    <row r="464" spans="1:19" s="26" customFormat="1" ht="21" customHeight="1">
      <c r="A464" s="66"/>
      <c r="B464" s="80" t="s">
        <v>128</v>
      </c>
      <c r="C464" s="84"/>
      <c r="D464" s="41" t="s">
        <v>150</v>
      </c>
      <c r="E464" s="79">
        <f aca="true" t="shared" si="261" ref="E464:K464">SUM(E465:E467)</f>
        <v>335965</v>
      </c>
      <c r="F464" s="79">
        <f t="shared" si="261"/>
        <v>-35000</v>
      </c>
      <c r="G464" s="79">
        <f t="shared" si="261"/>
        <v>300965</v>
      </c>
      <c r="H464" s="79">
        <f t="shared" si="261"/>
        <v>0</v>
      </c>
      <c r="I464" s="79">
        <f t="shared" si="261"/>
        <v>300965</v>
      </c>
      <c r="J464" s="79">
        <f t="shared" si="261"/>
        <v>0</v>
      </c>
      <c r="K464" s="79">
        <f t="shared" si="261"/>
        <v>300965</v>
      </c>
      <c r="L464" s="79">
        <f aca="true" t="shared" si="262" ref="L464:Q464">SUM(L465:L467)</f>
        <v>-12</v>
      </c>
      <c r="M464" s="79">
        <f t="shared" si="262"/>
        <v>300953</v>
      </c>
      <c r="N464" s="79">
        <f t="shared" si="262"/>
        <v>0</v>
      </c>
      <c r="O464" s="79">
        <f t="shared" si="262"/>
        <v>300953</v>
      </c>
      <c r="P464" s="79">
        <f t="shared" si="262"/>
        <v>31</v>
      </c>
      <c r="Q464" s="79">
        <f t="shared" si="262"/>
        <v>300984</v>
      </c>
      <c r="R464" s="79">
        <f>SUM(R465:R467)</f>
        <v>0</v>
      </c>
      <c r="S464" s="79">
        <f>SUM(S465:S467)</f>
        <v>300984</v>
      </c>
    </row>
    <row r="465" spans="1:19" s="26" customFormat="1" ht="21" customHeight="1">
      <c r="A465" s="66"/>
      <c r="B465" s="80"/>
      <c r="C465" s="66">
        <v>4210</v>
      </c>
      <c r="D465" s="41" t="s">
        <v>90</v>
      </c>
      <c r="E465" s="79">
        <f>20000+20000+25000+19330+11535</f>
        <v>95865</v>
      </c>
      <c r="F465" s="79"/>
      <c r="G465" s="79">
        <f>SUM(E465:F465)</f>
        <v>95865</v>
      </c>
      <c r="H465" s="79"/>
      <c r="I465" s="79">
        <f>SUM(G465:H465)</f>
        <v>95865</v>
      </c>
      <c r="J465" s="79"/>
      <c r="K465" s="79">
        <f>SUM(I465:J465)</f>
        <v>95865</v>
      </c>
      <c r="L465" s="79">
        <v>-12</v>
      </c>
      <c r="M465" s="79">
        <f>SUM(K465:L465)</f>
        <v>95853</v>
      </c>
      <c r="N465" s="79"/>
      <c r="O465" s="79">
        <f>SUM(M465:N465)</f>
        <v>95853</v>
      </c>
      <c r="P465" s="79">
        <f>181-150+38500</f>
        <v>38531</v>
      </c>
      <c r="Q465" s="79">
        <f>SUM(O465:P465)</f>
        <v>134384</v>
      </c>
      <c r="R465" s="79"/>
      <c r="S465" s="79">
        <f>SUM(Q465:R465)</f>
        <v>134384</v>
      </c>
    </row>
    <row r="466" spans="1:19" s="26" customFormat="1" ht="21" customHeight="1">
      <c r="A466" s="66"/>
      <c r="B466" s="80"/>
      <c r="C466" s="66">
        <v>4260</v>
      </c>
      <c r="D466" s="41" t="s">
        <v>93</v>
      </c>
      <c r="E466" s="79">
        <v>150</v>
      </c>
      <c r="F466" s="79"/>
      <c r="G466" s="79">
        <f>SUM(E466:F466)</f>
        <v>150</v>
      </c>
      <c r="H466" s="79"/>
      <c r="I466" s="79">
        <f>SUM(G466:H466)</f>
        <v>150</v>
      </c>
      <c r="J466" s="79"/>
      <c r="K466" s="79">
        <f>SUM(I466:J466)</f>
        <v>150</v>
      </c>
      <c r="L466" s="79"/>
      <c r="M466" s="79">
        <f>SUM(K466:L466)</f>
        <v>150</v>
      </c>
      <c r="N466" s="79"/>
      <c r="O466" s="79">
        <f>SUM(M466:N466)</f>
        <v>150</v>
      </c>
      <c r="P466" s="79"/>
      <c r="Q466" s="79">
        <f>SUM(O466:P466)</f>
        <v>150</v>
      </c>
      <c r="R466" s="79"/>
      <c r="S466" s="79">
        <f>SUM(Q466:R466)</f>
        <v>150</v>
      </c>
    </row>
    <row r="467" spans="1:19" s="26" customFormat="1" ht="21" customHeight="1">
      <c r="A467" s="66"/>
      <c r="B467" s="80"/>
      <c r="C467" s="66">
        <v>4300</v>
      </c>
      <c r="D467" s="41" t="s">
        <v>77</v>
      </c>
      <c r="E467" s="79">
        <f>253000+400+6550-20000</f>
        <v>239950</v>
      </c>
      <c r="F467" s="79">
        <v>-35000</v>
      </c>
      <c r="G467" s="79">
        <f>SUM(E467:F467)</f>
        <v>204950</v>
      </c>
      <c r="H467" s="79"/>
      <c r="I467" s="79">
        <f>SUM(G467:H467)</f>
        <v>204950</v>
      </c>
      <c r="J467" s="79"/>
      <c r="K467" s="79">
        <f>SUM(I467:J467)</f>
        <v>204950</v>
      </c>
      <c r="L467" s="79"/>
      <c r="M467" s="79">
        <f>SUM(K467:L467)</f>
        <v>204950</v>
      </c>
      <c r="N467" s="79"/>
      <c r="O467" s="79">
        <f>SUM(M467:N467)</f>
        <v>204950</v>
      </c>
      <c r="P467" s="79">
        <v>-38500</v>
      </c>
      <c r="Q467" s="79">
        <f>SUM(O467:P467)</f>
        <v>166450</v>
      </c>
      <c r="R467" s="79"/>
      <c r="S467" s="79">
        <f>SUM(Q467:R467)</f>
        <v>166450</v>
      </c>
    </row>
    <row r="468" spans="1:19" s="26" customFormat="1" ht="21" customHeight="1">
      <c r="A468" s="66"/>
      <c r="B468" s="80">
        <v>90005</v>
      </c>
      <c r="C468" s="66"/>
      <c r="D468" s="41" t="s">
        <v>296</v>
      </c>
      <c r="E468" s="79">
        <f aca="true" t="shared" si="263" ref="E468:S468">SUM(E469)</f>
        <v>2000</v>
      </c>
      <c r="F468" s="79">
        <f t="shared" si="263"/>
        <v>0</v>
      </c>
      <c r="G468" s="79">
        <f t="shared" si="263"/>
        <v>2000</v>
      </c>
      <c r="H468" s="79">
        <f t="shared" si="263"/>
        <v>0</v>
      </c>
      <c r="I468" s="79">
        <f t="shared" si="263"/>
        <v>2000</v>
      </c>
      <c r="J468" s="79">
        <f t="shared" si="263"/>
        <v>0</v>
      </c>
      <c r="K468" s="79">
        <f t="shared" si="263"/>
        <v>2000</v>
      </c>
      <c r="L468" s="79">
        <f t="shared" si="263"/>
        <v>0</v>
      </c>
      <c r="M468" s="79">
        <f t="shared" si="263"/>
        <v>2000</v>
      </c>
      <c r="N468" s="79">
        <f t="shared" si="263"/>
        <v>0</v>
      </c>
      <c r="O468" s="79">
        <f t="shared" si="263"/>
        <v>2000</v>
      </c>
      <c r="P468" s="79">
        <f t="shared" si="263"/>
        <v>0</v>
      </c>
      <c r="Q468" s="79">
        <f t="shared" si="263"/>
        <v>2000</v>
      </c>
      <c r="R468" s="79">
        <f t="shared" si="263"/>
        <v>0</v>
      </c>
      <c r="S468" s="79">
        <f t="shared" si="263"/>
        <v>2000</v>
      </c>
    </row>
    <row r="469" spans="1:19" s="26" customFormat="1" ht="22.5">
      <c r="A469" s="66"/>
      <c r="B469" s="80"/>
      <c r="C469" s="66">
        <v>4520</v>
      </c>
      <c r="D469" s="41" t="s">
        <v>297</v>
      </c>
      <c r="E469" s="79">
        <v>2000</v>
      </c>
      <c r="F469" s="79"/>
      <c r="G469" s="79">
        <f>SUM(E469:F469)</f>
        <v>2000</v>
      </c>
      <c r="H469" s="79"/>
      <c r="I469" s="79">
        <f>SUM(G469:H469)</f>
        <v>2000</v>
      </c>
      <c r="J469" s="79"/>
      <c r="K469" s="79">
        <f>SUM(I469:J469)</f>
        <v>2000</v>
      </c>
      <c r="L469" s="79"/>
      <c r="M469" s="79">
        <f>SUM(K469:L469)</f>
        <v>2000</v>
      </c>
      <c r="N469" s="79"/>
      <c r="O469" s="79">
        <f>SUM(M469:N469)</f>
        <v>2000</v>
      </c>
      <c r="P469" s="79"/>
      <c r="Q469" s="79">
        <f>SUM(O469:P469)</f>
        <v>2000</v>
      </c>
      <c r="R469" s="79"/>
      <c r="S469" s="79">
        <f>SUM(Q469:R469)</f>
        <v>2000</v>
      </c>
    </row>
    <row r="470" spans="1:19" s="26" customFormat="1" ht="21" customHeight="1">
      <c r="A470" s="66"/>
      <c r="B470" s="80" t="s">
        <v>129</v>
      </c>
      <c r="C470" s="84"/>
      <c r="D470" s="41" t="s">
        <v>130</v>
      </c>
      <c r="E470" s="79">
        <f aca="true" t="shared" si="264" ref="E470:S470">SUM(E471)</f>
        <v>180000</v>
      </c>
      <c r="F470" s="79">
        <f t="shared" si="264"/>
        <v>40000</v>
      </c>
      <c r="G470" s="79">
        <f t="shared" si="264"/>
        <v>220000</v>
      </c>
      <c r="H470" s="79">
        <f t="shared" si="264"/>
        <v>0</v>
      </c>
      <c r="I470" s="79">
        <f t="shared" si="264"/>
        <v>220000</v>
      </c>
      <c r="J470" s="79">
        <f t="shared" si="264"/>
        <v>0</v>
      </c>
      <c r="K470" s="79">
        <f t="shared" si="264"/>
        <v>220000</v>
      </c>
      <c r="L470" s="79">
        <f t="shared" si="264"/>
        <v>0</v>
      </c>
      <c r="M470" s="79">
        <f t="shared" si="264"/>
        <v>220000</v>
      </c>
      <c r="N470" s="79">
        <f t="shared" si="264"/>
        <v>0</v>
      </c>
      <c r="O470" s="79">
        <f t="shared" si="264"/>
        <v>220000</v>
      </c>
      <c r="P470" s="79">
        <f t="shared" si="264"/>
        <v>0</v>
      </c>
      <c r="Q470" s="79">
        <f t="shared" si="264"/>
        <v>220000</v>
      </c>
      <c r="R470" s="79">
        <f t="shared" si="264"/>
        <v>0</v>
      </c>
      <c r="S470" s="79">
        <f t="shared" si="264"/>
        <v>220000</v>
      </c>
    </row>
    <row r="471" spans="1:19" s="26" customFormat="1" ht="21" customHeight="1">
      <c r="A471" s="66"/>
      <c r="B471" s="80"/>
      <c r="C471" s="84">
        <v>4300</v>
      </c>
      <c r="D471" s="88" t="s">
        <v>77</v>
      </c>
      <c r="E471" s="79">
        <v>180000</v>
      </c>
      <c r="F471" s="79">
        <v>40000</v>
      </c>
      <c r="G471" s="79">
        <f>SUM(E471:F471)</f>
        <v>220000</v>
      </c>
      <c r="H471" s="79"/>
      <c r="I471" s="79">
        <f>SUM(G471:H471)</f>
        <v>220000</v>
      </c>
      <c r="J471" s="79"/>
      <c r="K471" s="79">
        <f>SUM(I471:J471)</f>
        <v>220000</v>
      </c>
      <c r="L471" s="79"/>
      <c r="M471" s="79">
        <f>SUM(K471:L471)</f>
        <v>220000</v>
      </c>
      <c r="N471" s="79"/>
      <c r="O471" s="79">
        <f>SUM(M471:N471)</f>
        <v>220000</v>
      </c>
      <c r="P471" s="79"/>
      <c r="Q471" s="79">
        <f>SUM(O471:P471)</f>
        <v>220000</v>
      </c>
      <c r="R471" s="79"/>
      <c r="S471" s="79">
        <f>SUM(Q471:R471)</f>
        <v>220000</v>
      </c>
    </row>
    <row r="472" spans="1:19" s="26" customFormat="1" ht="21" customHeight="1">
      <c r="A472" s="66"/>
      <c r="B472" s="80" t="s">
        <v>131</v>
      </c>
      <c r="C472" s="84"/>
      <c r="D472" s="41" t="s">
        <v>132</v>
      </c>
      <c r="E472" s="79">
        <f aca="true" t="shared" si="265" ref="E472:K472">SUM(E473:E477)</f>
        <v>1104500</v>
      </c>
      <c r="F472" s="79">
        <f t="shared" si="265"/>
        <v>70000</v>
      </c>
      <c r="G472" s="79">
        <f t="shared" si="265"/>
        <v>1174500</v>
      </c>
      <c r="H472" s="79">
        <f t="shared" si="265"/>
        <v>0</v>
      </c>
      <c r="I472" s="79">
        <f t="shared" si="265"/>
        <v>1174500</v>
      </c>
      <c r="J472" s="79">
        <f t="shared" si="265"/>
        <v>0</v>
      </c>
      <c r="K472" s="79">
        <f t="shared" si="265"/>
        <v>1174500</v>
      </c>
      <c r="L472" s="79">
        <f aca="true" t="shared" si="266" ref="L472:Q472">SUM(L473:L477)</f>
        <v>0</v>
      </c>
      <c r="M472" s="79">
        <f t="shared" si="266"/>
        <v>1174500</v>
      </c>
      <c r="N472" s="79">
        <f t="shared" si="266"/>
        <v>0</v>
      </c>
      <c r="O472" s="79">
        <f t="shared" si="266"/>
        <v>1174500</v>
      </c>
      <c r="P472" s="79">
        <f t="shared" si="266"/>
        <v>-500</v>
      </c>
      <c r="Q472" s="79">
        <f t="shared" si="266"/>
        <v>1174000</v>
      </c>
      <c r="R472" s="79">
        <f>SUM(R473:R477)</f>
        <v>0</v>
      </c>
      <c r="S472" s="79">
        <f>SUM(S473:S477)</f>
        <v>1174000</v>
      </c>
    </row>
    <row r="473" spans="1:19" s="26" customFormat="1" ht="21" customHeight="1">
      <c r="A473" s="66"/>
      <c r="B473" s="80"/>
      <c r="C473" s="84">
        <v>4170</v>
      </c>
      <c r="D473" s="41" t="s">
        <v>193</v>
      </c>
      <c r="E473" s="79">
        <v>0</v>
      </c>
      <c r="F473" s="79">
        <v>2000</v>
      </c>
      <c r="G473" s="79">
        <f>SUM(E473:F473)</f>
        <v>2000</v>
      </c>
      <c r="H473" s="79"/>
      <c r="I473" s="79">
        <f>SUM(G473:H473)</f>
        <v>2000</v>
      </c>
      <c r="J473" s="79"/>
      <c r="K473" s="79">
        <f>SUM(I473:J473)</f>
        <v>2000</v>
      </c>
      <c r="L473" s="79"/>
      <c r="M473" s="79">
        <f>SUM(K473:L473)</f>
        <v>2000</v>
      </c>
      <c r="N473" s="79"/>
      <c r="O473" s="79">
        <f>SUM(M473:N473)</f>
        <v>2000</v>
      </c>
      <c r="P473" s="79"/>
      <c r="Q473" s="79">
        <f>SUM(O473:P473)</f>
        <v>2000</v>
      </c>
      <c r="R473" s="79"/>
      <c r="S473" s="79">
        <f>SUM(Q473:R473)</f>
        <v>2000</v>
      </c>
    </row>
    <row r="474" spans="1:19" s="26" customFormat="1" ht="21" customHeight="1">
      <c r="A474" s="66"/>
      <c r="B474" s="85"/>
      <c r="C474" s="66">
        <v>4260</v>
      </c>
      <c r="D474" s="41" t="s">
        <v>93</v>
      </c>
      <c r="E474" s="79">
        <v>750000</v>
      </c>
      <c r="F474" s="79"/>
      <c r="G474" s="79">
        <f>SUM(E474:F474)</f>
        <v>750000</v>
      </c>
      <c r="H474" s="79"/>
      <c r="I474" s="79">
        <f>SUM(G474:H474)</f>
        <v>750000</v>
      </c>
      <c r="J474" s="79"/>
      <c r="K474" s="79">
        <f>SUM(I474:J474)</f>
        <v>750000</v>
      </c>
      <c r="L474" s="79"/>
      <c r="M474" s="79">
        <f>SUM(K474:L474)</f>
        <v>750000</v>
      </c>
      <c r="N474" s="79"/>
      <c r="O474" s="79">
        <f>SUM(M474:N474)</f>
        <v>750000</v>
      </c>
      <c r="P474" s="79"/>
      <c r="Q474" s="79">
        <f>SUM(O474:P474)</f>
        <v>750000</v>
      </c>
      <c r="R474" s="79"/>
      <c r="S474" s="79">
        <f>SUM(Q474:R474)</f>
        <v>750000</v>
      </c>
    </row>
    <row r="475" spans="1:19" s="26" customFormat="1" ht="21" customHeight="1">
      <c r="A475" s="66"/>
      <c r="B475" s="85"/>
      <c r="C475" s="66">
        <v>4270</v>
      </c>
      <c r="D475" s="41" t="s">
        <v>76</v>
      </c>
      <c r="E475" s="79">
        <v>250000</v>
      </c>
      <c r="F475" s="79">
        <v>-2000</v>
      </c>
      <c r="G475" s="79">
        <f>SUM(E475:F475)</f>
        <v>248000</v>
      </c>
      <c r="H475" s="79"/>
      <c r="I475" s="79">
        <f>SUM(G475:H475)</f>
        <v>248000</v>
      </c>
      <c r="J475" s="79"/>
      <c r="K475" s="79">
        <f>SUM(I475:J475)</f>
        <v>248000</v>
      </c>
      <c r="L475" s="79"/>
      <c r="M475" s="79">
        <f>SUM(K475:L475)</f>
        <v>248000</v>
      </c>
      <c r="N475" s="79"/>
      <c r="O475" s="79">
        <f>SUM(M475:N475)</f>
        <v>248000</v>
      </c>
      <c r="P475" s="79"/>
      <c r="Q475" s="79">
        <f>SUM(O475:P475)</f>
        <v>248000</v>
      </c>
      <c r="R475" s="79"/>
      <c r="S475" s="79">
        <f>SUM(Q475:R475)</f>
        <v>248000</v>
      </c>
    </row>
    <row r="476" spans="1:19" s="26" customFormat="1" ht="21" customHeight="1">
      <c r="A476" s="66"/>
      <c r="B476" s="85"/>
      <c r="C476" s="66">
        <v>4300</v>
      </c>
      <c r="D476" s="41" t="s">
        <v>77</v>
      </c>
      <c r="E476" s="79">
        <f>50000+500+9000</f>
        <v>59500</v>
      </c>
      <c r="F476" s="79"/>
      <c r="G476" s="79">
        <f>SUM(E476:F476)</f>
        <v>59500</v>
      </c>
      <c r="H476" s="79"/>
      <c r="I476" s="79">
        <f>SUM(G476:H476)</f>
        <v>59500</v>
      </c>
      <c r="J476" s="79"/>
      <c r="K476" s="79">
        <f>SUM(I476:J476)</f>
        <v>59500</v>
      </c>
      <c r="L476" s="79"/>
      <c r="M476" s="79">
        <f>SUM(K476:L476)</f>
        <v>59500</v>
      </c>
      <c r="N476" s="79"/>
      <c r="O476" s="79">
        <f>SUM(M476:N476)</f>
        <v>59500</v>
      </c>
      <c r="P476" s="79">
        <v>-500</v>
      </c>
      <c r="Q476" s="79">
        <f>SUM(O476:P476)</f>
        <v>59000</v>
      </c>
      <c r="R476" s="79"/>
      <c r="S476" s="79">
        <f>SUM(Q476:R476)</f>
        <v>59000</v>
      </c>
    </row>
    <row r="477" spans="1:19" s="26" customFormat="1" ht="21" customHeight="1">
      <c r="A477" s="66"/>
      <c r="B477" s="85"/>
      <c r="C477" s="66">
        <v>6050</v>
      </c>
      <c r="D477" s="14" t="s">
        <v>71</v>
      </c>
      <c r="E477" s="79">
        <f>25000+20000</f>
        <v>45000</v>
      </c>
      <c r="F477" s="79">
        <f>35000+35000</f>
        <v>70000</v>
      </c>
      <c r="G477" s="79">
        <f>SUM(E477:F477)</f>
        <v>115000</v>
      </c>
      <c r="H477" s="79"/>
      <c r="I477" s="79">
        <f>SUM(G477:H477)</f>
        <v>115000</v>
      </c>
      <c r="J477" s="79"/>
      <c r="K477" s="79">
        <f>SUM(I477:J477)</f>
        <v>115000</v>
      </c>
      <c r="L477" s="79"/>
      <c r="M477" s="79">
        <f>SUM(K477:L477)</f>
        <v>115000</v>
      </c>
      <c r="N477" s="79"/>
      <c r="O477" s="79">
        <f>SUM(M477:N477)</f>
        <v>115000</v>
      </c>
      <c r="P477" s="79"/>
      <c r="Q477" s="79">
        <f>SUM(O477:P477)</f>
        <v>115000</v>
      </c>
      <c r="R477" s="79"/>
      <c r="S477" s="79">
        <f>SUM(Q477:R477)</f>
        <v>115000</v>
      </c>
    </row>
    <row r="478" spans="1:19" s="26" customFormat="1" ht="33.75">
      <c r="A478" s="66"/>
      <c r="B478" s="85">
        <v>90019</v>
      </c>
      <c r="C478" s="66"/>
      <c r="D478" s="41" t="s">
        <v>290</v>
      </c>
      <c r="E478" s="79">
        <f aca="true" t="shared" si="267" ref="E478:J478">SUM(E481:E483)</f>
        <v>341000</v>
      </c>
      <c r="F478" s="79">
        <f t="shared" si="267"/>
        <v>0</v>
      </c>
      <c r="G478" s="79">
        <f t="shared" si="267"/>
        <v>341000</v>
      </c>
      <c r="H478" s="79">
        <f t="shared" si="267"/>
        <v>0</v>
      </c>
      <c r="I478" s="79">
        <f t="shared" si="267"/>
        <v>341000</v>
      </c>
      <c r="J478" s="79">
        <f t="shared" si="267"/>
        <v>0</v>
      </c>
      <c r="K478" s="79">
        <f>SUM(K481:K483)</f>
        <v>341000</v>
      </c>
      <c r="L478" s="79">
        <f>SUM(L481:L483)</f>
        <v>0</v>
      </c>
      <c r="M478" s="79">
        <f>SUM(M480:M483)</f>
        <v>341000</v>
      </c>
      <c r="N478" s="79">
        <f>SUM(N480:N483)</f>
        <v>0</v>
      </c>
      <c r="O478" s="79">
        <f>SUM(O479:O483)</f>
        <v>341000</v>
      </c>
      <c r="P478" s="79">
        <f>SUM(P479:P483)</f>
        <v>0</v>
      </c>
      <c r="Q478" s="79">
        <f>SUM(Q479:Q483)</f>
        <v>341000</v>
      </c>
      <c r="R478" s="79">
        <f>SUM(R479:R483)</f>
        <v>0</v>
      </c>
      <c r="S478" s="79">
        <f>SUM(S479:S483)</f>
        <v>341000</v>
      </c>
    </row>
    <row r="479" spans="1:19" s="26" customFormat="1" ht="33.75">
      <c r="A479" s="66"/>
      <c r="B479" s="85"/>
      <c r="C479" s="66">
        <v>2710</v>
      </c>
      <c r="D479" s="41" t="s">
        <v>344</v>
      </c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>
        <v>0</v>
      </c>
      <c r="P479" s="79">
        <v>20000</v>
      </c>
      <c r="Q479" s="79">
        <f>SUM(O479:P479)</f>
        <v>20000</v>
      </c>
      <c r="R479" s="79"/>
      <c r="S479" s="79">
        <f>SUM(Q479:R479)</f>
        <v>20000</v>
      </c>
    </row>
    <row r="480" spans="1:19" s="26" customFormat="1" ht="24.75" customHeight="1">
      <c r="A480" s="66"/>
      <c r="B480" s="85"/>
      <c r="C480" s="66">
        <v>4170</v>
      </c>
      <c r="D480" s="41" t="s">
        <v>193</v>
      </c>
      <c r="E480" s="79"/>
      <c r="F480" s="79"/>
      <c r="G480" s="79"/>
      <c r="H480" s="79"/>
      <c r="I480" s="79"/>
      <c r="J480" s="79"/>
      <c r="K480" s="79"/>
      <c r="L480" s="79"/>
      <c r="M480" s="79">
        <v>0</v>
      </c>
      <c r="N480" s="79">
        <v>1000</v>
      </c>
      <c r="O480" s="79">
        <f>SUM(M480:N480)</f>
        <v>1000</v>
      </c>
      <c r="P480" s="79"/>
      <c r="Q480" s="79">
        <f>SUM(O480:P480)</f>
        <v>1000</v>
      </c>
      <c r="R480" s="79"/>
      <c r="S480" s="79">
        <f>SUM(Q480:R480)</f>
        <v>1000</v>
      </c>
    </row>
    <row r="481" spans="1:19" s="26" customFormat="1" ht="21" customHeight="1">
      <c r="A481" s="66"/>
      <c r="B481" s="85"/>
      <c r="C481" s="66">
        <v>4210</v>
      </c>
      <c r="D481" s="41" t="s">
        <v>90</v>
      </c>
      <c r="E481" s="79">
        <f>126000-50000+3000</f>
        <v>79000</v>
      </c>
      <c r="F481" s="79"/>
      <c r="G481" s="79">
        <f>SUM(E481:F481)</f>
        <v>79000</v>
      </c>
      <c r="H481" s="79"/>
      <c r="I481" s="79">
        <f>SUM(G481:H481)</f>
        <v>79000</v>
      </c>
      <c r="J481" s="79"/>
      <c r="K481" s="79">
        <f>SUM(I481:J481)</f>
        <v>79000</v>
      </c>
      <c r="L481" s="79"/>
      <c r="M481" s="79">
        <f>SUM(K481:L481)</f>
        <v>79000</v>
      </c>
      <c r="N481" s="79">
        <v>-1000</v>
      </c>
      <c r="O481" s="79">
        <f>SUM(M481:N481)</f>
        <v>78000</v>
      </c>
      <c r="P481" s="79"/>
      <c r="Q481" s="79">
        <f>SUM(O481:P481)</f>
        <v>78000</v>
      </c>
      <c r="R481" s="79">
        <v>-21500</v>
      </c>
      <c r="S481" s="79">
        <f>SUM(Q481:R481)</f>
        <v>56500</v>
      </c>
    </row>
    <row r="482" spans="1:19" s="26" customFormat="1" ht="21" customHeight="1">
      <c r="A482" s="66"/>
      <c r="B482" s="85"/>
      <c r="C482" s="66">
        <v>4300</v>
      </c>
      <c r="D482" s="88" t="s">
        <v>77</v>
      </c>
      <c r="E482" s="79">
        <f>215000+50000-3000</f>
        <v>262000</v>
      </c>
      <c r="F482" s="79">
        <f>-30000</f>
        <v>-30000</v>
      </c>
      <c r="G482" s="79">
        <f>SUM(E482:F482)</f>
        <v>232000</v>
      </c>
      <c r="H482" s="79"/>
      <c r="I482" s="79">
        <f>SUM(G482:H482)</f>
        <v>232000</v>
      </c>
      <c r="J482" s="79"/>
      <c r="K482" s="79">
        <f>SUM(I482:J482)</f>
        <v>232000</v>
      </c>
      <c r="L482" s="79"/>
      <c r="M482" s="79">
        <f>SUM(K482:L482)</f>
        <v>232000</v>
      </c>
      <c r="N482" s="79"/>
      <c r="O482" s="79">
        <f>SUM(M482:N482)</f>
        <v>232000</v>
      </c>
      <c r="P482" s="79">
        <v>-20000</v>
      </c>
      <c r="Q482" s="79">
        <f>SUM(O482:P482)</f>
        <v>212000</v>
      </c>
      <c r="R482" s="79">
        <v>21500</v>
      </c>
      <c r="S482" s="79">
        <f>SUM(Q482:R482)</f>
        <v>233500</v>
      </c>
    </row>
    <row r="483" spans="1:19" s="26" customFormat="1" ht="21" customHeight="1">
      <c r="A483" s="66"/>
      <c r="B483" s="85"/>
      <c r="C483" s="66">
        <v>4810</v>
      </c>
      <c r="D483" s="88" t="s">
        <v>361</v>
      </c>
      <c r="E483" s="79">
        <v>0</v>
      </c>
      <c r="F483" s="79">
        <v>30000</v>
      </c>
      <c r="G483" s="79">
        <f>SUM(E483:F483)</f>
        <v>30000</v>
      </c>
      <c r="H483" s="79"/>
      <c r="I483" s="79">
        <f>SUM(G483:H483)</f>
        <v>30000</v>
      </c>
      <c r="J483" s="79"/>
      <c r="K483" s="79">
        <f>SUM(I483:J483)</f>
        <v>30000</v>
      </c>
      <c r="L483" s="79"/>
      <c r="M483" s="79">
        <f>SUM(K483:L483)</f>
        <v>30000</v>
      </c>
      <c r="N483" s="79"/>
      <c r="O483" s="79">
        <f>SUM(M483:N483)</f>
        <v>30000</v>
      </c>
      <c r="P483" s="79"/>
      <c r="Q483" s="79">
        <f>SUM(O483:P483)</f>
        <v>30000</v>
      </c>
      <c r="R483" s="79"/>
      <c r="S483" s="79">
        <f>SUM(Q483:R483)</f>
        <v>30000</v>
      </c>
    </row>
    <row r="484" spans="1:19" s="26" customFormat="1" ht="21" customHeight="1">
      <c r="A484" s="66"/>
      <c r="B484" s="80" t="s">
        <v>133</v>
      </c>
      <c r="C484" s="84"/>
      <c r="D484" s="41" t="s">
        <v>6</v>
      </c>
      <c r="E484" s="79">
        <f aca="true" t="shared" si="268" ref="E484:K484">SUM(E485:E489)</f>
        <v>62000</v>
      </c>
      <c r="F484" s="79">
        <f t="shared" si="268"/>
        <v>0</v>
      </c>
      <c r="G484" s="79">
        <f t="shared" si="268"/>
        <v>62000</v>
      </c>
      <c r="H484" s="79">
        <f t="shared" si="268"/>
        <v>0</v>
      </c>
      <c r="I484" s="79">
        <f t="shared" si="268"/>
        <v>62000</v>
      </c>
      <c r="J484" s="79">
        <f t="shared" si="268"/>
        <v>0</v>
      </c>
      <c r="K484" s="79">
        <f t="shared" si="268"/>
        <v>62000</v>
      </c>
      <c r="L484" s="79">
        <f aca="true" t="shared" si="269" ref="L484:Q484">SUM(L485:L489)</f>
        <v>0</v>
      </c>
      <c r="M484" s="79">
        <f t="shared" si="269"/>
        <v>62000</v>
      </c>
      <c r="N484" s="79">
        <f t="shared" si="269"/>
        <v>0</v>
      </c>
      <c r="O484" s="79">
        <f t="shared" si="269"/>
        <v>62000</v>
      </c>
      <c r="P484" s="79">
        <f t="shared" si="269"/>
        <v>1500</v>
      </c>
      <c r="Q484" s="79">
        <f t="shared" si="269"/>
        <v>63500</v>
      </c>
      <c r="R484" s="79">
        <f>SUM(R485:R489)</f>
        <v>0</v>
      </c>
      <c r="S484" s="79">
        <f>SUM(S485:S489)</f>
        <v>63500</v>
      </c>
    </row>
    <row r="485" spans="1:19" s="26" customFormat="1" ht="21" customHeight="1">
      <c r="A485" s="66"/>
      <c r="B485" s="80"/>
      <c r="C485" s="84">
        <v>4210</v>
      </c>
      <c r="D485" s="41" t="s">
        <v>90</v>
      </c>
      <c r="E485" s="79">
        <v>15000</v>
      </c>
      <c r="F485" s="79"/>
      <c r="G485" s="79">
        <f>SUM(E485:F485)</f>
        <v>15000</v>
      </c>
      <c r="H485" s="79"/>
      <c r="I485" s="79">
        <f>SUM(G485:H485)</f>
        <v>15000</v>
      </c>
      <c r="J485" s="79"/>
      <c r="K485" s="79">
        <f>SUM(I485:J485)</f>
        <v>15000</v>
      </c>
      <c r="L485" s="79"/>
      <c r="M485" s="79">
        <f>SUM(K485:L485)</f>
        <v>15000</v>
      </c>
      <c r="N485" s="79"/>
      <c r="O485" s="79">
        <f>SUM(M485:N485)</f>
        <v>15000</v>
      </c>
      <c r="P485" s="79"/>
      <c r="Q485" s="79">
        <f>SUM(O485:P485)</f>
        <v>15000</v>
      </c>
      <c r="R485" s="79"/>
      <c r="S485" s="79">
        <f>SUM(Q485:R485)</f>
        <v>15000</v>
      </c>
    </row>
    <row r="486" spans="1:19" s="26" customFormat="1" ht="21" customHeight="1">
      <c r="A486" s="66"/>
      <c r="B486" s="85"/>
      <c r="C486" s="66">
        <v>4260</v>
      </c>
      <c r="D486" s="41" t="s">
        <v>93</v>
      </c>
      <c r="E486" s="79">
        <v>5000</v>
      </c>
      <c r="F486" s="79"/>
      <c r="G486" s="79">
        <f>SUM(E486:F486)</f>
        <v>5000</v>
      </c>
      <c r="H486" s="79"/>
      <c r="I486" s="79">
        <f>SUM(G486:H486)</f>
        <v>5000</v>
      </c>
      <c r="J486" s="79"/>
      <c r="K486" s="79">
        <f>SUM(I486:J486)</f>
        <v>5000</v>
      </c>
      <c r="L486" s="79"/>
      <c r="M486" s="79">
        <f>SUM(K486:L486)</f>
        <v>5000</v>
      </c>
      <c r="N486" s="79"/>
      <c r="O486" s="79">
        <f>SUM(M486:N486)</f>
        <v>5000</v>
      </c>
      <c r="P486" s="79"/>
      <c r="Q486" s="79">
        <f>SUM(O486:P486)</f>
        <v>5000</v>
      </c>
      <c r="R486" s="79"/>
      <c r="S486" s="79">
        <f>SUM(Q486:R486)</f>
        <v>5000</v>
      </c>
    </row>
    <row r="487" spans="1:19" s="26" customFormat="1" ht="21" customHeight="1">
      <c r="A487" s="66"/>
      <c r="B487" s="85"/>
      <c r="C487" s="66">
        <v>4270</v>
      </c>
      <c r="D487" s="41" t="s">
        <v>76</v>
      </c>
      <c r="E487" s="79">
        <v>10000</v>
      </c>
      <c r="F487" s="79"/>
      <c r="G487" s="79">
        <f>SUM(E487:F487)</f>
        <v>10000</v>
      </c>
      <c r="H487" s="79"/>
      <c r="I487" s="79">
        <f>SUM(G487:H487)</f>
        <v>10000</v>
      </c>
      <c r="J487" s="79"/>
      <c r="K487" s="79">
        <f>SUM(I487:J487)</f>
        <v>10000</v>
      </c>
      <c r="L487" s="79"/>
      <c r="M487" s="79">
        <f>SUM(K487:L487)</f>
        <v>10000</v>
      </c>
      <c r="N487" s="79"/>
      <c r="O487" s="79">
        <f>SUM(M487:N487)</f>
        <v>10000</v>
      </c>
      <c r="P487" s="79"/>
      <c r="Q487" s="79">
        <f>SUM(O487:P487)</f>
        <v>10000</v>
      </c>
      <c r="R487" s="79"/>
      <c r="S487" s="79">
        <f>SUM(Q487:R487)</f>
        <v>10000</v>
      </c>
    </row>
    <row r="488" spans="1:19" s="26" customFormat="1" ht="21" customHeight="1">
      <c r="A488" s="66"/>
      <c r="B488" s="85"/>
      <c r="C488" s="84">
        <v>4300</v>
      </c>
      <c r="D488" s="88" t="s">
        <v>77</v>
      </c>
      <c r="E488" s="79">
        <v>30000</v>
      </c>
      <c r="F488" s="79"/>
      <c r="G488" s="79">
        <f>SUM(E488:F488)</f>
        <v>30000</v>
      </c>
      <c r="H488" s="79"/>
      <c r="I488" s="79">
        <f>SUM(G488:H488)</f>
        <v>30000</v>
      </c>
      <c r="J488" s="79"/>
      <c r="K488" s="79">
        <f>SUM(I488:J488)</f>
        <v>30000</v>
      </c>
      <c r="L488" s="79"/>
      <c r="M488" s="79">
        <f>SUM(K488:L488)</f>
        <v>30000</v>
      </c>
      <c r="N488" s="79"/>
      <c r="O488" s="79">
        <f>SUM(M488:N488)</f>
        <v>30000</v>
      </c>
      <c r="P488" s="79"/>
      <c r="Q488" s="79">
        <f>SUM(O488:P488)</f>
        <v>30000</v>
      </c>
      <c r="R488" s="79"/>
      <c r="S488" s="79">
        <f>SUM(Q488:R488)</f>
        <v>30000</v>
      </c>
    </row>
    <row r="489" spans="1:19" s="26" customFormat="1" ht="22.5">
      <c r="A489" s="66"/>
      <c r="B489" s="85"/>
      <c r="C489" s="84">
        <v>4390</v>
      </c>
      <c r="D489" s="41" t="s">
        <v>247</v>
      </c>
      <c r="E489" s="79">
        <v>2000</v>
      </c>
      <c r="F489" s="79"/>
      <c r="G489" s="79">
        <f>SUM(E489:F489)</f>
        <v>2000</v>
      </c>
      <c r="H489" s="79"/>
      <c r="I489" s="79">
        <f>SUM(G489:H489)</f>
        <v>2000</v>
      </c>
      <c r="J489" s="79"/>
      <c r="K489" s="79">
        <f>SUM(I489:J489)</f>
        <v>2000</v>
      </c>
      <c r="L489" s="79"/>
      <c r="M489" s="79">
        <f>SUM(K489:L489)</f>
        <v>2000</v>
      </c>
      <c r="N489" s="79"/>
      <c r="O489" s="79">
        <f>SUM(M489:N489)</f>
        <v>2000</v>
      </c>
      <c r="P489" s="79">
        <v>1500</v>
      </c>
      <c r="Q489" s="79">
        <f>SUM(O489:P489)</f>
        <v>3500</v>
      </c>
      <c r="R489" s="79"/>
      <c r="S489" s="79">
        <f>SUM(Q489:R489)</f>
        <v>3500</v>
      </c>
    </row>
    <row r="490" spans="1:19" s="8" customFormat="1" ht="25.5" customHeight="1">
      <c r="A490" s="36" t="s">
        <v>62</v>
      </c>
      <c r="B490" s="37"/>
      <c r="C490" s="38"/>
      <c r="D490" s="39" t="s">
        <v>134</v>
      </c>
      <c r="E490" s="40">
        <f aca="true" t="shared" si="270" ref="E490:K490">SUM(E491,E498,E500,)</f>
        <v>2507174</v>
      </c>
      <c r="F490" s="40">
        <f t="shared" si="270"/>
        <v>32300</v>
      </c>
      <c r="G490" s="40">
        <f t="shared" si="270"/>
        <v>2539474</v>
      </c>
      <c r="H490" s="40">
        <f t="shared" si="270"/>
        <v>0</v>
      </c>
      <c r="I490" s="40">
        <f t="shared" si="270"/>
        <v>2539474</v>
      </c>
      <c r="J490" s="40">
        <f t="shared" si="270"/>
        <v>-70000</v>
      </c>
      <c r="K490" s="40">
        <f t="shared" si="270"/>
        <v>2469474</v>
      </c>
      <c r="L490" s="40">
        <f aca="true" t="shared" si="271" ref="L490:Q490">SUM(L491,L498,L500,)</f>
        <v>-3</v>
      </c>
      <c r="M490" s="40">
        <f t="shared" si="271"/>
        <v>2469471</v>
      </c>
      <c r="N490" s="40">
        <f t="shared" si="271"/>
        <v>0</v>
      </c>
      <c r="O490" s="40">
        <f t="shared" si="271"/>
        <v>2469471</v>
      </c>
      <c r="P490" s="40">
        <f t="shared" si="271"/>
        <v>450</v>
      </c>
      <c r="Q490" s="40">
        <f t="shared" si="271"/>
        <v>2469921</v>
      </c>
      <c r="R490" s="40">
        <f>SUM(R491,R498,R500,)</f>
        <v>0</v>
      </c>
      <c r="S490" s="40">
        <f>SUM(S491,S498,S500,)</f>
        <v>2469921</v>
      </c>
    </row>
    <row r="491" spans="1:19" s="26" customFormat="1" ht="21.75" customHeight="1">
      <c r="A491" s="66"/>
      <c r="B491" s="80" t="s">
        <v>135</v>
      </c>
      <c r="C491" s="84"/>
      <c r="D491" s="41" t="s">
        <v>149</v>
      </c>
      <c r="E491" s="79">
        <f aca="true" t="shared" si="272" ref="E491:K491">SUM(E492:E496)</f>
        <v>722144</v>
      </c>
      <c r="F491" s="79">
        <f t="shared" si="272"/>
        <v>38300</v>
      </c>
      <c r="G491" s="79">
        <f t="shared" si="272"/>
        <v>760444</v>
      </c>
      <c r="H491" s="79">
        <f t="shared" si="272"/>
        <v>0</v>
      </c>
      <c r="I491" s="79">
        <f t="shared" si="272"/>
        <v>760444</v>
      </c>
      <c r="J491" s="79">
        <f t="shared" si="272"/>
        <v>-12000</v>
      </c>
      <c r="K491" s="79">
        <f t="shared" si="272"/>
        <v>748444</v>
      </c>
      <c r="L491" s="79">
        <f>SUM(L492:L496)</f>
        <v>-3</v>
      </c>
      <c r="M491" s="79">
        <f>SUM(M492:M496)</f>
        <v>748441</v>
      </c>
      <c r="N491" s="79">
        <f>SUM(N492:N496)</f>
        <v>0</v>
      </c>
      <c r="O491" s="79">
        <f>SUM(O492:O497)</f>
        <v>748441</v>
      </c>
      <c r="P491" s="79">
        <f>SUM(P492:P497)</f>
        <v>450</v>
      </c>
      <c r="Q491" s="79">
        <f>SUM(Q492:Q497)</f>
        <v>748891</v>
      </c>
      <c r="R491" s="79">
        <f>SUM(R492:R497)</f>
        <v>0</v>
      </c>
      <c r="S491" s="79">
        <f>SUM(S492:S497)</f>
        <v>748891</v>
      </c>
    </row>
    <row r="492" spans="1:19" s="26" customFormat="1" ht="22.5">
      <c r="A492" s="66"/>
      <c r="B492" s="80"/>
      <c r="C492" s="84">
        <v>2480</v>
      </c>
      <c r="D492" s="41" t="s">
        <v>189</v>
      </c>
      <c r="E492" s="79">
        <v>624660</v>
      </c>
      <c r="F492" s="79">
        <f>800+3500+16000+18000</f>
        <v>38300</v>
      </c>
      <c r="G492" s="79">
        <f>SUM(E492:F492)</f>
        <v>662960</v>
      </c>
      <c r="H492" s="79"/>
      <c r="I492" s="79">
        <f>SUM(G492:H492)</f>
        <v>662960</v>
      </c>
      <c r="J492" s="79">
        <v>-12000</v>
      </c>
      <c r="K492" s="79">
        <f>SUM(I492:J492)</f>
        <v>650960</v>
      </c>
      <c r="L492" s="79"/>
      <c r="M492" s="79">
        <f>SUM(K492:L492)</f>
        <v>650960</v>
      </c>
      <c r="N492" s="79"/>
      <c r="O492" s="79">
        <f>SUM(M492:N492)</f>
        <v>650960</v>
      </c>
      <c r="P492" s="79"/>
      <c r="Q492" s="79">
        <f aca="true" t="shared" si="273" ref="Q492:Q497">SUM(O492:P492)</f>
        <v>650960</v>
      </c>
      <c r="R492" s="79"/>
      <c r="S492" s="79">
        <f aca="true" t="shared" si="274" ref="S492:S497">SUM(Q492:R492)</f>
        <v>650960</v>
      </c>
    </row>
    <row r="493" spans="1:19" s="26" customFormat="1" ht="21" customHeight="1">
      <c r="A493" s="66"/>
      <c r="B493" s="80"/>
      <c r="C493" s="66">
        <v>4210</v>
      </c>
      <c r="D493" s="41" t="s">
        <v>90</v>
      </c>
      <c r="E493" s="79">
        <f>8917+43191</f>
        <v>52108</v>
      </c>
      <c r="F493" s="79"/>
      <c r="G493" s="79">
        <f>SUM(E493:F493)</f>
        <v>52108</v>
      </c>
      <c r="H493" s="79"/>
      <c r="I493" s="79">
        <f>SUM(G493:H493)</f>
        <v>52108</v>
      </c>
      <c r="J493" s="79"/>
      <c r="K493" s="79">
        <f>SUM(I493:J493)</f>
        <v>52108</v>
      </c>
      <c r="L493" s="79">
        <v>-3</v>
      </c>
      <c r="M493" s="79">
        <f>SUM(K493:L493)</f>
        <v>52105</v>
      </c>
      <c r="N493" s="79"/>
      <c r="O493" s="79">
        <f>SUM(M493:N493)</f>
        <v>52105</v>
      </c>
      <c r="P493" s="79">
        <f>-8100-50</f>
        <v>-8150</v>
      </c>
      <c r="Q493" s="79">
        <f t="shared" si="273"/>
        <v>43955</v>
      </c>
      <c r="R493" s="79"/>
      <c r="S493" s="79">
        <f t="shared" si="274"/>
        <v>43955</v>
      </c>
    </row>
    <row r="494" spans="1:19" s="26" customFormat="1" ht="21" customHeight="1">
      <c r="A494" s="66"/>
      <c r="B494" s="80"/>
      <c r="C494" s="66">
        <v>4260</v>
      </c>
      <c r="D494" s="41" t="s">
        <v>93</v>
      </c>
      <c r="E494" s="79">
        <v>16524</v>
      </c>
      <c r="F494" s="79"/>
      <c r="G494" s="79">
        <f>SUM(E494:F494)</f>
        <v>16524</v>
      </c>
      <c r="H494" s="79"/>
      <c r="I494" s="79">
        <f>SUM(G494:H494)</f>
        <v>16524</v>
      </c>
      <c r="J494" s="79"/>
      <c r="K494" s="79">
        <f>SUM(I494:J494)</f>
        <v>16524</v>
      </c>
      <c r="L494" s="79"/>
      <c r="M494" s="79">
        <f>SUM(K494:L494)</f>
        <v>16524</v>
      </c>
      <c r="N494" s="79"/>
      <c r="O494" s="79">
        <f>SUM(M494:N494)</f>
        <v>16524</v>
      </c>
      <c r="P494" s="79">
        <v>500</v>
      </c>
      <c r="Q494" s="79">
        <f t="shared" si="273"/>
        <v>17024</v>
      </c>
      <c r="R494" s="79"/>
      <c r="S494" s="79">
        <f t="shared" si="274"/>
        <v>17024</v>
      </c>
    </row>
    <row r="495" spans="1:19" s="26" customFormat="1" ht="21" customHeight="1">
      <c r="A495" s="66"/>
      <c r="B495" s="80"/>
      <c r="C495" s="66">
        <v>4270</v>
      </c>
      <c r="D495" s="41" t="s">
        <v>76</v>
      </c>
      <c r="E495" s="79">
        <v>24402</v>
      </c>
      <c r="F495" s="79"/>
      <c r="G495" s="79">
        <f>SUM(E495:F495)</f>
        <v>24402</v>
      </c>
      <c r="H495" s="79"/>
      <c r="I495" s="79">
        <f>SUM(G495:H495)</f>
        <v>24402</v>
      </c>
      <c r="J495" s="79"/>
      <c r="K495" s="79">
        <f>SUM(I495:J495)</f>
        <v>24402</v>
      </c>
      <c r="L495" s="79"/>
      <c r="M495" s="79">
        <f>SUM(K495:L495)</f>
        <v>24402</v>
      </c>
      <c r="N495" s="79"/>
      <c r="O495" s="79">
        <f>SUM(M495:N495)</f>
        <v>24402</v>
      </c>
      <c r="P495" s="79"/>
      <c r="Q495" s="79">
        <f t="shared" si="273"/>
        <v>24402</v>
      </c>
      <c r="R495" s="79"/>
      <c r="S495" s="79">
        <f t="shared" si="274"/>
        <v>24402</v>
      </c>
    </row>
    <row r="496" spans="1:19" s="26" customFormat="1" ht="21" customHeight="1">
      <c r="A496" s="66"/>
      <c r="B496" s="80"/>
      <c r="C496" s="84">
        <v>4300</v>
      </c>
      <c r="D496" s="88" t="s">
        <v>77</v>
      </c>
      <c r="E496" s="79">
        <f>250+4200</f>
        <v>4450</v>
      </c>
      <c r="F496" s="79"/>
      <c r="G496" s="79">
        <f>SUM(E496:F496)</f>
        <v>4450</v>
      </c>
      <c r="H496" s="79"/>
      <c r="I496" s="79">
        <f>SUM(G496:H496)</f>
        <v>4450</v>
      </c>
      <c r="J496" s="79"/>
      <c r="K496" s="79">
        <f>SUM(I496:J496)</f>
        <v>4450</v>
      </c>
      <c r="L496" s="79"/>
      <c r="M496" s="79">
        <f>SUM(K496:L496)</f>
        <v>4450</v>
      </c>
      <c r="N496" s="79"/>
      <c r="O496" s="79">
        <f>SUM(M496:N496)</f>
        <v>4450</v>
      </c>
      <c r="P496" s="79"/>
      <c r="Q496" s="79">
        <f t="shared" si="273"/>
        <v>4450</v>
      </c>
      <c r="R496" s="79"/>
      <c r="S496" s="79">
        <f t="shared" si="274"/>
        <v>4450</v>
      </c>
    </row>
    <row r="497" spans="1:19" s="26" customFormat="1" ht="22.5">
      <c r="A497" s="66"/>
      <c r="B497" s="80"/>
      <c r="C497" s="84">
        <v>6060</v>
      </c>
      <c r="D497" s="41" t="s">
        <v>94</v>
      </c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>
        <v>0</v>
      </c>
      <c r="P497" s="79">
        <v>8100</v>
      </c>
      <c r="Q497" s="79">
        <f t="shared" si="273"/>
        <v>8100</v>
      </c>
      <c r="R497" s="79"/>
      <c r="S497" s="79">
        <f t="shared" si="274"/>
        <v>8100</v>
      </c>
    </row>
    <row r="498" spans="1:19" s="26" customFormat="1" ht="21" customHeight="1">
      <c r="A498" s="66"/>
      <c r="B498" s="80" t="s">
        <v>63</v>
      </c>
      <c r="C498" s="84"/>
      <c r="D498" s="41" t="s">
        <v>64</v>
      </c>
      <c r="E498" s="79">
        <f aca="true" t="shared" si="275" ref="E498:S498">E499</f>
        <v>1185030</v>
      </c>
      <c r="F498" s="79">
        <f t="shared" si="275"/>
        <v>-5000</v>
      </c>
      <c r="G498" s="79">
        <f t="shared" si="275"/>
        <v>1180030</v>
      </c>
      <c r="H498" s="79">
        <f t="shared" si="275"/>
        <v>0</v>
      </c>
      <c r="I498" s="79">
        <f t="shared" si="275"/>
        <v>1180030</v>
      </c>
      <c r="J498" s="79">
        <f t="shared" si="275"/>
        <v>-10000</v>
      </c>
      <c r="K498" s="79">
        <f t="shared" si="275"/>
        <v>1170030</v>
      </c>
      <c r="L498" s="79">
        <f t="shared" si="275"/>
        <v>0</v>
      </c>
      <c r="M498" s="79">
        <f t="shared" si="275"/>
        <v>1170030</v>
      </c>
      <c r="N498" s="79">
        <f t="shared" si="275"/>
        <v>0</v>
      </c>
      <c r="O498" s="79">
        <f t="shared" si="275"/>
        <v>1170030</v>
      </c>
      <c r="P498" s="79">
        <f t="shared" si="275"/>
        <v>0</v>
      </c>
      <c r="Q498" s="79">
        <f t="shared" si="275"/>
        <v>1170030</v>
      </c>
      <c r="R498" s="79">
        <f t="shared" si="275"/>
        <v>0</v>
      </c>
      <c r="S498" s="79">
        <f t="shared" si="275"/>
        <v>1170030</v>
      </c>
    </row>
    <row r="499" spans="1:19" s="26" customFormat="1" ht="22.5">
      <c r="A499" s="66"/>
      <c r="B499" s="80"/>
      <c r="C499" s="84">
        <v>2480</v>
      </c>
      <c r="D499" s="41" t="s">
        <v>189</v>
      </c>
      <c r="E499" s="79">
        <f>1125030+60000</f>
        <v>1185030</v>
      </c>
      <c r="F499" s="79">
        <v>-5000</v>
      </c>
      <c r="G499" s="79">
        <f>SUM(E499:F499)</f>
        <v>1180030</v>
      </c>
      <c r="H499" s="79"/>
      <c r="I499" s="79">
        <f>SUM(G499:H499)</f>
        <v>1180030</v>
      </c>
      <c r="J499" s="79">
        <v>-10000</v>
      </c>
      <c r="K499" s="79">
        <f>SUM(I499:J499)</f>
        <v>1170030</v>
      </c>
      <c r="L499" s="79"/>
      <c r="M499" s="79">
        <f>SUM(K499:L499)</f>
        <v>1170030</v>
      </c>
      <c r="N499" s="79"/>
      <c r="O499" s="79">
        <f>SUM(M499:N499)</f>
        <v>1170030</v>
      </c>
      <c r="P499" s="79"/>
      <c r="Q499" s="79">
        <f>SUM(O499:P499)</f>
        <v>1170030</v>
      </c>
      <c r="R499" s="79"/>
      <c r="S499" s="79">
        <f>SUM(Q499:R499)</f>
        <v>1170030</v>
      </c>
    </row>
    <row r="500" spans="1:19" s="26" customFormat="1" ht="21" customHeight="1">
      <c r="A500" s="66"/>
      <c r="B500" s="80" t="s">
        <v>136</v>
      </c>
      <c r="C500" s="84"/>
      <c r="D500" s="41" t="s">
        <v>137</v>
      </c>
      <c r="E500" s="79">
        <f aca="true" t="shared" si="276" ref="E500:S500">E501</f>
        <v>600000</v>
      </c>
      <c r="F500" s="79">
        <f t="shared" si="276"/>
        <v>-1000</v>
      </c>
      <c r="G500" s="79">
        <f t="shared" si="276"/>
        <v>599000</v>
      </c>
      <c r="H500" s="79">
        <f t="shared" si="276"/>
        <v>0</v>
      </c>
      <c r="I500" s="79">
        <f t="shared" si="276"/>
        <v>599000</v>
      </c>
      <c r="J500" s="79">
        <f t="shared" si="276"/>
        <v>-48000</v>
      </c>
      <c r="K500" s="79">
        <f t="shared" si="276"/>
        <v>551000</v>
      </c>
      <c r="L500" s="79">
        <f t="shared" si="276"/>
        <v>0</v>
      </c>
      <c r="M500" s="79">
        <f t="shared" si="276"/>
        <v>551000</v>
      </c>
      <c r="N500" s="79">
        <f t="shared" si="276"/>
        <v>0</v>
      </c>
      <c r="O500" s="79">
        <f t="shared" si="276"/>
        <v>551000</v>
      </c>
      <c r="P500" s="79">
        <f t="shared" si="276"/>
        <v>0</v>
      </c>
      <c r="Q500" s="79">
        <f t="shared" si="276"/>
        <v>551000</v>
      </c>
      <c r="R500" s="79">
        <f t="shared" si="276"/>
        <v>0</v>
      </c>
      <c r="S500" s="79">
        <f t="shared" si="276"/>
        <v>551000</v>
      </c>
    </row>
    <row r="501" spans="1:19" s="26" customFormat="1" ht="22.5">
      <c r="A501" s="66"/>
      <c r="B501" s="80"/>
      <c r="C501" s="84">
        <v>2480</v>
      </c>
      <c r="D501" s="41" t="s">
        <v>189</v>
      </c>
      <c r="E501" s="79">
        <v>600000</v>
      </c>
      <c r="F501" s="79">
        <f>1000+2000+1000-5000</f>
        <v>-1000</v>
      </c>
      <c r="G501" s="79">
        <f>SUM(E501:F501)</f>
        <v>599000</v>
      </c>
      <c r="H501" s="79"/>
      <c r="I501" s="79">
        <f>SUM(G501:H501)</f>
        <v>599000</v>
      </c>
      <c r="J501" s="79">
        <v>-48000</v>
      </c>
      <c r="K501" s="79">
        <f>SUM(I501:J501)</f>
        <v>551000</v>
      </c>
      <c r="L501" s="79"/>
      <c r="M501" s="79">
        <f>SUM(K501:L501)</f>
        <v>551000</v>
      </c>
      <c r="N501" s="79"/>
      <c r="O501" s="79">
        <f>SUM(M501:N501)</f>
        <v>551000</v>
      </c>
      <c r="P501" s="79"/>
      <c r="Q501" s="79">
        <f>SUM(O501:P501)</f>
        <v>551000</v>
      </c>
      <c r="R501" s="79"/>
      <c r="S501" s="79">
        <f>SUM(Q501:R501)</f>
        <v>551000</v>
      </c>
    </row>
    <row r="502" spans="1:19" s="8" customFormat="1" ht="21" customHeight="1">
      <c r="A502" s="36" t="s">
        <v>138</v>
      </c>
      <c r="B502" s="37"/>
      <c r="C502" s="38"/>
      <c r="D502" s="39" t="s">
        <v>350</v>
      </c>
      <c r="E502" s="40">
        <f aca="true" t="shared" si="277" ref="E502:K502">SUM(E511,E505,E523,E503)</f>
        <v>622026</v>
      </c>
      <c r="F502" s="40">
        <f t="shared" si="277"/>
        <v>-126468</v>
      </c>
      <c r="G502" s="40">
        <f t="shared" si="277"/>
        <v>495558</v>
      </c>
      <c r="H502" s="40">
        <f t="shared" si="277"/>
        <v>360000</v>
      </c>
      <c r="I502" s="40">
        <f t="shared" si="277"/>
        <v>855558</v>
      </c>
      <c r="J502" s="40">
        <f t="shared" si="277"/>
        <v>0</v>
      </c>
      <c r="K502" s="40">
        <f t="shared" si="277"/>
        <v>855558</v>
      </c>
      <c r="L502" s="40">
        <f aca="true" t="shared" si="278" ref="L502:Q502">SUM(L511,L505,L523,L503)</f>
        <v>39993</v>
      </c>
      <c r="M502" s="40">
        <f t="shared" si="278"/>
        <v>895551</v>
      </c>
      <c r="N502" s="40">
        <f t="shared" si="278"/>
        <v>0</v>
      </c>
      <c r="O502" s="40">
        <f t="shared" si="278"/>
        <v>895551</v>
      </c>
      <c r="P502" s="40">
        <f t="shared" si="278"/>
        <v>21100</v>
      </c>
      <c r="Q502" s="40">
        <f t="shared" si="278"/>
        <v>916651</v>
      </c>
      <c r="R502" s="40">
        <f>SUM(R511,R505,R523,R503)</f>
        <v>0</v>
      </c>
      <c r="S502" s="40">
        <f>SUM(S511,S505,S523,S503)</f>
        <v>916651</v>
      </c>
    </row>
    <row r="503" spans="1:19" s="132" customFormat="1" ht="21" customHeight="1">
      <c r="A503" s="145"/>
      <c r="B503" s="177">
        <v>92601</v>
      </c>
      <c r="C503" s="166"/>
      <c r="D503" s="148" t="s">
        <v>359</v>
      </c>
      <c r="E503" s="178">
        <f aca="true" t="shared" si="279" ref="E503:S503">SUM(E504)</f>
        <v>0</v>
      </c>
      <c r="F503" s="178">
        <f t="shared" si="279"/>
        <v>70000</v>
      </c>
      <c r="G503" s="178">
        <f t="shared" si="279"/>
        <v>70000</v>
      </c>
      <c r="H503" s="178">
        <f t="shared" si="279"/>
        <v>0</v>
      </c>
      <c r="I503" s="178">
        <f t="shared" si="279"/>
        <v>70000</v>
      </c>
      <c r="J503" s="178">
        <f t="shared" si="279"/>
        <v>0</v>
      </c>
      <c r="K503" s="178">
        <f t="shared" si="279"/>
        <v>70000</v>
      </c>
      <c r="L503" s="178">
        <f t="shared" si="279"/>
        <v>0</v>
      </c>
      <c r="M503" s="178">
        <f t="shared" si="279"/>
        <v>70000</v>
      </c>
      <c r="N503" s="178">
        <f t="shared" si="279"/>
        <v>0</v>
      </c>
      <c r="O503" s="178">
        <f t="shared" si="279"/>
        <v>70000</v>
      </c>
      <c r="P503" s="178">
        <f t="shared" si="279"/>
        <v>0</v>
      </c>
      <c r="Q503" s="178">
        <f t="shared" si="279"/>
        <v>70000</v>
      </c>
      <c r="R503" s="178">
        <f t="shared" si="279"/>
        <v>0</v>
      </c>
      <c r="S503" s="178">
        <f t="shared" si="279"/>
        <v>70000</v>
      </c>
    </row>
    <row r="504" spans="1:19" s="132" customFormat="1" ht="21" customHeight="1">
      <c r="A504" s="145"/>
      <c r="B504" s="177"/>
      <c r="C504" s="166">
        <v>6050</v>
      </c>
      <c r="D504" s="136" t="s">
        <v>71</v>
      </c>
      <c r="E504" s="178">
        <v>0</v>
      </c>
      <c r="F504" s="178">
        <v>70000</v>
      </c>
      <c r="G504" s="178">
        <f>SUM(E504:F504)</f>
        <v>70000</v>
      </c>
      <c r="H504" s="178"/>
      <c r="I504" s="178">
        <f>SUM(G504:H504)</f>
        <v>70000</v>
      </c>
      <c r="J504" s="178"/>
      <c r="K504" s="178">
        <f>SUM(I504:J504)</f>
        <v>70000</v>
      </c>
      <c r="L504" s="178"/>
      <c r="M504" s="178">
        <f>SUM(K504:L504)</f>
        <v>70000</v>
      </c>
      <c r="N504" s="178"/>
      <c r="O504" s="178">
        <f>SUM(M504:N504)</f>
        <v>70000</v>
      </c>
      <c r="P504" s="178"/>
      <c r="Q504" s="178">
        <f>SUM(O504:P504)</f>
        <v>70000</v>
      </c>
      <c r="R504" s="178"/>
      <c r="S504" s="178">
        <f>SUM(Q504:R504)</f>
        <v>70000</v>
      </c>
    </row>
    <row r="505" spans="1:19" s="26" customFormat="1" ht="21.75" customHeight="1">
      <c r="A505" s="66"/>
      <c r="B505" s="85">
        <v>92604</v>
      </c>
      <c r="C505" s="84"/>
      <c r="D505" s="41" t="s">
        <v>197</v>
      </c>
      <c r="E505" s="79">
        <f aca="true" t="shared" si="280" ref="E505:J505">SUM(E507:E510)</f>
        <v>462000</v>
      </c>
      <c r="F505" s="79">
        <f t="shared" si="280"/>
        <v>-200000</v>
      </c>
      <c r="G505" s="79">
        <f t="shared" si="280"/>
        <v>262000</v>
      </c>
      <c r="H505" s="79">
        <f t="shared" si="280"/>
        <v>0</v>
      </c>
      <c r="I505" s="79">
        <f t="shared" si="280"/>
        <v>262000</v>
      </c>
      <c r="J505" s="79">
        <f t="shared" si="280"/>
        <v>0</v>
      </c>
      <c r="K505" s="79">
        <f aca="true" t="shared" si="281" ref="K505:Q505">SUM(K506:K510)</f>
        <v>262000</v>
      </c>
      <c r="L505" s="79">
        <f t="shared" si="281"/>
        <v>40000</v>
      </c>
      <c r="M505" s="79">
        <f t="shared" si="281"/>
        <v>302000</v>
      </c>
      <c r="N505" s="79">
        <f t="shared" si="281"/>
        <v>0</v>
      </c>
      <c r="O505" s="79">
        <f t="shared" si="281"/>
        <v>302000</v>
      </c>
      <c r="P505" s="79">
        <f t="shared" si="281"/>
        <v>0</v>
      </c>
      <c r="Q505" s="79">
        <f t="shared" si="281"/>
        <v>302000</v>
      </c>
      <c r="R505" s="79">
        <f>SUM(R506:R510)</f>
        <v>0</v>
      </c>
      <c r="S505" s="79">
        <f>SUM(S506:S510)</f>
        <v>302000</v>
      </c>
    </row>
    <row r="506" spans="1:19" s="26" customFormat="1" ht="21.75" customHeight="1">
      <c r="A506" s="66"/>
      <c r="B506" s="85"/>
      <c r="C506" s="84">
        <v>4150</v>
      </c>
      <c r="D506" s="41" t="s">
        <v>420</v>
      </c>
      <c r="E506" s="79"/>
      <c r="F506" s="79"/>
      <c r="G506" s="79"/>
      <c r="H506" s="79"/>
      <c r="I506" s="79"/>
      <c r="J506" s="79"/>
      <c r="K506" s="79">
        <v>0</v>
      </c>
      <c r="L506" s="79">
        <v>40000</v>
      </c>
      <c r="M506" s="79">
        <f>SUM(K506:L506)</f>
        <v>40000</v>
      </c>
      <c r="N506" s="79"/>
      <c r="O506" s="79">
        <f>SUM(M506:N506)</f>
        <v>40000</v>
      </c>
      <c r="P506" s="79"/>
      <c r="Q506" s="79">
        <f>SUM(O506:P506)</f>
        <v>40000</v>
      </c>
      <c r="R506" s="79"/>
      <c r="S506" s="79">
        <f>SUM(Q506:R506)</f>
        <v>40000</v>
      </c>
    </row>
    <row r="507" spans="1:19" s="26" customFormat="1" ht="21.75" customHeight="1">
      <c r="A507" s="66"/>
      <c r="B507" s="85"/>
      <c r="C507" s="84">
        <v>4210</v>
      </c>
      <c r="D507" s="41" t="s">
        <v>90</v>
      </c>
      <c r="E507" s="79">
        <v>7000</v>
      </c>
      <c r="F507" s="79"/>
      <c r="G507" s="79">
        <f>SUM(E507:F507)</f>
        <v>7000</v>
      </c>
      <c r="H507" s="79"/>
      <c r="I507" s="79">
        <f>SUM(G507:H507)</f>
        <v>7000</v>
      </c>
      <c r="J507" s="79"/>
      <c r="K507" s="79">
        <f>SUM(I507:J507)</f>
        <v>7000</v>
      </c>
      <c r="L507" s="79"/>
      <c r="M507" s="79">
        <f>SUM(K507:L507)</f>
        <v>7000</v>
      </c>
      <c r="N507" s="79"/>
      <c r="O507" s="79">
        <f>SUM(M507:N507)</f>
        <v>7000</v>
      </c>
      <c r="P507" s="79"/>
      <c r="Q507" s="79">
        <f>SUM(O507:P507)</f>
        <v>7000</v>
      </c>
      <c r="R507" s="79"/>
      <c r="S507" s="79">
        <f>SUM(Q507:R507)</f>
        <v>7000</v>
      </c>
    </row>
    <row r="508" spans="1:19" s="26" customFormat="1" ht="21" customHeight="1">
      <c r="A508" s="66"/>
      <c r="B508" s="85"/>
      <c r="C508" s="84">
        <v>4300</v>
      </c>
      <c r="D508" s="88" t="s">
        <v>77</v>
      </c>
      <c r="E508" s="79">
        <f>100000+35000</f>
        <v>135000</v>
      </c>
      <c r="F508" s="79"/>
      <c r="G508" s="79">
        <f>SUM(E508:F508)</f>
        <v>135000</v>
      </c>
      <c r="H508" s="79"/>
      <c r="I508" s="79">
        <f>SUM(G508:H508)</f>
        <v>135000</v>
      </c>
      <c r="J508" s="79"/>
      <c r="K508" s="79">
        <f>SUM(I508:J508)</f>
        <v>135000</v>
      </c>
      <c r="L508" s="79"/>
      <c r="M508" s="79">
        <f>SUM(K508:L508)</f>
        <v>135000</v>
      </c>
      <c r="N508" s="79"/>
      <c r="O508" s="79">
        <f>SUM(M508:N508)</f>
        <v>135000</v>
      </c>
      <c r="P508" s="79"/>
      <c r="Q508" s="79">
        <f>SUM(O508:P508)</f>
        <v>135000</v>
      </c>
      <c r="R508" s="79"/>
      <c r="S508" s="79">
        <f>SUM(Q508:R508)</f>
        <v>135000</v>
      </c>
    </row>
    <row r="509" spans="1:19" s="26" customFormat="1" ht="45">
      <c r="A509" s="66"/>
      <c r="B509" s="85"/>
      <c r="C509" s="84">
        <v>6010</v>
      </c>
      <c r="D509" s="14" t="s">
        <v>257</v>
      </c>
      <c r="E509" s="79">
        <v>200000</v>
      </c>
      <c r="F509" s="79">
        <v>-200000</v>
      </c>
      <c r="G509" s="79">
        <f>SUM(E509:F509)</f>
        <v>0</v>
      </c>
      <c r="H509" s="79"/>
      <c r="I509" s="79">
        <f>SUM(G509:H509)</f>
        <v>0</v>
      </c>
      <c r="J509" s="79"/>
      <c r="K509" s="79">
        <f>SUM(I509:J509)</f>
        <v>0</v>
      </c>
      <c r="L509" s="79"/>
      <c r="M509" s="79">
        <f>SUM(K509:L509)</f>
        <v>0</v>
      </c>
      <c r="N509" s="79"/>
      <c r="O509" s="79">
        <f>SUM(M509:N509)</f>
        <v>0</v>
      </c>
      <c r="P509" s="79"/>
      <c r="Q509" s="79">
        <f>SUM(O509:P509)</f>
        <v>0</v>
      </c>
      <c r="R509" s="79"/>
      <c r="S509" s="79">
        <f>SUM(Q509:R509)</f>
        <v>0</v>
      </c>
    </row>
    <row r="510" spans="1:19" s="26" customFormat="1" ht="23.25" customHeight="1">
      <c r="A510" s="66"/>
      <c r="B510" s="85"/>
      <c r="C510" s="84">
        <v>6050</v>
      </c>
      <c r="D510" s="14" t="s">
        <v>71</v>
      </c>
      <c r="E510" s="79">
        <v>120000</v>
      </c>
      <c r="F510" s="79"/>
      <c r="G510" s="79">
        <f>SUM(E510:F510)</f>
        <v>120000</v>
      </c>
      <c r="H510" s="79"/>
      <c r="I510" s="79">
        <f>SUM(G510:H510)</f>
        <v>120000</v>
      </c>
      <c r="J510" s="79"/>
      <c r="K510" s="79">
        <f>SUM(I510:J510)</f>
        <v>120000</v>
      </c>
      <c r="L510" s="79"/>
      <c r="M510" s="79">
        <f>SUM(K510:L510)</f>
        <v>120000</v>
      </c>
      <c r="N510" s="79"/>
      <c r="O510" s="79">
        <f>SUM(M510:N510)</f>
        <v>120000</v>
      </c>
      <c r="P510" s="79"/>
      <c r="Q510" s="79">
        <f>SUM(O510:P510)</f>
        <v>120000</v>
      </c>
      <c r="R510" s="79"/>
      <c r="S510" s="79">
        <f>SUM(Q510:R510)</f>
        <v>120000</v>
      </c>
    </row>
    <row r="511" spans="1:19" s="26" customFormat="1" ht="20.25" customHeight="1">
      <c r="A511" s="84"/>
      <c r="B511" s="87">
        <v>92605</v>
      </c>
      <c r="C511" s="84"/>
      <c r="D511" s="41" t="s">
        <v>351</v>
      </c>
      <c r="E511" s="79">
        <f>SUM(E513:E522)</f>
        <v>156866</v>
      </c>
      <c r="F511" s="79">
        <f>SUM(F513:F522)</f>
        <v>3532</v>
      </c>
      <c r="G511" s="79">
        <f aca="true" t="shared" si="282" ref="G511:M511">SUM(G512:G522)</f>
        <v>160398</v>
      </c>
      <c r="H511" s="79">
        <f t="shared" si="282"/>
        <v>360000</v>
      </c>
      <c r="I511" s="79">
        <f t="shared" si="282"/>
        <v>520398</v>
      </c>
      <c r="J511" s="79">
        <f t="shared" si="282"/>
        <v>0</v>
      </c>
      <c r="K511" s="79">
        <f t="shared" si="282"/>
        <v>520398</v>
      </c>
      <c r="L511" s="79">
        <f t="shared" si="282"/>
        <v>-2</v>
      </c>
      <c r="M511" s="79">
        <f t="shared" si="282"/>
        <v>520396</v>
      </c>
      <c r="N511" s="79">
        <f aca="true" t="shared" si="283" ref="N511:S511">SUM(N512:N522)</f>
        <v>0</v>
      </c>
      <c r="O511" s="79">
        <f t="shared" si="283"/>
        <v>520396</v>
      </c>
      <c r="P511" s="79">
        <f t="shared" si="283"/>
        <v>-21806</v>
      </c>
      <c r="Q511" s="79">
        <f t="shared" si="283"/>
        <v>498590</v>
      </c>
      <c r="R511" s="79">
        <f t="shared" si="283"/>
        <v>0</v>
      </c>
      <c r="S511" s="79">
        <f t="shared" si="283"/>
        <v>498590</v>
      </c>
    </row>
    <row r="512" spans="1:19" s="26" customFormat="1" ht="56.25">
      <c r="A512" s="84"/>
      <c r="B512" s="87"/>
      <c r="C512" s="84">
        <v>2360</v>
      </c>
      <c r="D512" s="41" t="s">
        <v>414</v>
      </c>
      <c r="E512" s="79"/>
      <c r="F512" s="79"/>
      <c r="G512" s="79">
        <v>0</v>
      </c>
      <c r="H512" s="79">
        <v>360000</v>
      </c>
      <c r="I512" s="79">
        <f>SUM(G512:H512)</f>
        <v>360000</v>
      </c>
      <c r="J512" s="79"/>
      <c r="K512" s="79">
        <f>SUM(I512:J512)</f>
        <v>360000</v>
      </c>
      <c r="L512" s="79"/>
      <c r="M512" s="79">
        <f>SUM(K512:L512)</f>
        <v>360000</v>
      </c>
      <c r="N512" s="79"/>
      <c r="O512" s="79">
        <f>SUM(M512:N512)</f>
        <v>360000</v>
      </c>
      <c r="P512" s="79"/>
      <c r="Q512" s="79">
        <f>SUM(O512:P512)</f>
        <v>360000</v>
      </c>
      <c r="R512" s="79"/>
      <c r="S512" s="79">
        <f>SUM(Q512:R512)</f>
        <v>360000</v>
      </c>
    </row>
    <row r="513" spans="1:19" s="26" customFormat="1" ht="20.25" customHeight="1">
      <c r="A513" s="84"/>
      <c r="B513" s="87"/>
      <c r="C513" s="84">
        <v>3020</v>
      </c>
      <c r="D513" s="41" t="s">
        <v>321</v>
      </c>
      <c r="E513" s="79">
        <f>500+5000</f>
        <v>5500</v>
      </c>
      <c r="F513" s="79"/>
      <c r="G513" s="79">
        <f>SUM(E513:F513)</f>
        <v>5500</v>
      </c>
      <c r="H513" s="79"/>
      <c r="I513" s="79">
        <f>SUM(G513:H513)</f>
        <v>5500</v>
      </c>
      <c r="J513" s="79"/>
      <c r="K513" s="79">
        <f>SUM(I513:J513)</f>
        <v>5500</v>
      </c>
      <c r="L513" s="79"/>
      <c r="M513" s="79">
        <f>SUM(K513:L513)</f>
        <v>5500</v>
      </c>
      <c r="N513" s="79"/>
      <c r="O513" s="79">
        <f>SUM(M513:N513)</f>
        <v>5500</v>
      </c>
      <c r="P513" s="79">
        <v>-2880</v>
      </c>
      <c r="Q513" s="79">
        <f>SUM(O513:P513)</f>
        <v>2620</v>
      </c>
      <c r="R513" s="79"/>
      <c r="S513" s="79">
        <f>SUM(Q513:R513)</f>
        <v>2620</v>
      </c>
    </row>
    <row r="514" spans="1:19" s="26" customFormat="1" ht="24.75" customHeight="1">
      <c r="A514" s="84"/>
      <c r="B514" s="87"/>
      <c r="C514" s="84">
        <v>3250</v>
      </c>
      <c r="D514" s="41" t="s">
        <v>258</v>
      </c>
      <c r="E514" s="79">
        <v>45000</v>
      </c>
      <c r="F514" s="79"/>
      <c r="G514" s="79">
        <f aca="true" t="shared" si="284" ref="G514:G522">SUM(E514:F514)</f>
        <v>45000</v>
      </c>
      <c r="H514" s="79"/>
      <c r="I514" s="79">
        <f aca="true" t="shared" si="285" ref="I514:I522">SUM(G514:H514)</f>
        <v>45000</v>
      </c>
      <c r="J514" s="79"/>
      <c r="K514" s="79">
        <f aca="true" t="shared" si="286" ref="K514:K522">SUM(I514:J514)</f>
        <v>45000</v>
      </c>
      <c r="L514" s="79"/>
      <c r="M514" s="79">
        <f aca="true" t="shared" si="287" ref="M514:M522">SUM(K514:L514)</f>
        <v>45000</v>
      </c>
      <c r="N514" s="79"/>
      <c r="O514" s="79">
        <f aca="true" t="shared" si="288" ref="O514:O522">SUM(M514:N514)</f>
        <v>45000</v>
      </c>
      <c r="P514" s="79"/>
      <c r="Q514" s="79">
        <f aca="true" t="shared" si="289" ref="Q514:Q522">SUM(O514:P514)</f>
        <v>45000</v>
      </c>
      <c r="R514" s="79"/>
      <c r="S514" s="79">
        <f aca="true" t="shared" si="290" ref="S514:S522">SUM(Q514:R514)</f>
        <v>45000</v>
      </c>
    </row>
    <row r="515" spans="1:19" s="26" customFormat="1" ht="21" customHeight="1">
      <c r="A515" s="84"/>
      <c r="B515" s="87"/>
      <c r="C515" s="84">
        <v>4110</v>
      </c>
      <c r="D515" s="41" t="s">
        <v>84</v>
      </c>
      <c r="E515" s="79">
        <f>1078+1200+2575</f>
        <v>4853</v>
      </c>
      <c r="F515" s="79">
        <v>289</v>
      </c>
      <c r="G515" s="79">
        <f t="shared" si="284"/>
        <v>5142</v>
      </c>
      <c r="H515" s="79"/>
      <c r="I515" s="79">
        <f t="shared" si="285"/>
        <v>5142</v>
      </c>
      <c r="J515" s="79"/>
      <c r="K515" s="79">
        <f t="shared" si="286"/>
        <v>5142</v>
      </c>
      <c r="L515" s="79"/>
      <c r="M515" s="79">
        <f t="shared" si="287"/>
        <v>5142</v>
      </c>
      <c r="N515" s="79"/>
      <c r="O515" s="79">
        <f t="shared" si="288"/>
        <v>5142</v>
      </c>
      <c r="P515" s="79">
        <v>-642</v>
      </c>
      <c r="Q515" s="79">
        <f t="shared" si="289"/>
        <v>4500</v>
      </c>
      <c r="R515" s="79"/>
      <c r="S515" s="79">
        <f t="shared" si="290"/>
        <v>4500</v>
      </c>
    </row>
    <row r="516" spans="1:19" s="26" customFormat="1" ht="21" customHeight="1">
      <c r="A516" s="84"/>
      <c r="B516" s="87"/>
      <c r="C516" s="84">
        <v>4120</v>
      </c>
      <c r="D516" s="41" t="s">
        <v>85</v>
      </c>
      <c r="E516" s="79">
        <v>150</v>
      </c>
      <c r="F516" s="79"/>
      <c r="G516" s="79">
        <f t="shared" si="284"/>
        <v>150</v>
      </c>
      <c r="H516" s="79"/>
      <c r="I516" s="79">
        <f t="shared" si="285"/>
        <v>150</v>
      </c>
      <c r="J516" s="79"/>
      <c r="K516" s="79">
        <f t="shared" si="286"/>
        <v>150</v>
      </c>
      <c r="L516" s="79"/>
      <c r="M516" s="79">
        <f t="shared" si="287"/>
        <v>150</v>
      </c>
      <c r="N516" s="79"/>
      <c r="O516" s="79">
        <f t="shared" si="288"/>
        <v>150</v>
      </c>
      <c r="P516" s="79"/>
      <c r="Q516" s="79">
        <f t="shared" si="289"/>
        <v>150</v>
      </c>
      <c r="R516" s="79"/>
      <c r="S516" s="79">
        <f t="shared" si="290"/>
        <v>150</v>
      </c>
    </row>
    <row r="517" spans="1:19" s="26" customFormat="1" ht="21" customHeight="1">
      <c r="A517" s="84"/>
      <c r="B517" s="87"/>
      <c r="C517" s="84">
        <v>4170</v>
      </c>
      <c r="D517" s="41" t="s">
        <v>196</v>
      </c>
      <c r="E517" s="79">
        <f>5757+5000-1200-150+30491</f>
        <v>39898</v>
      </c>
      <c r="F517" s="79">
        <v>3243</v>
      </c>
      <c r="G517" s="79">
        <f t="shared" si="284"/>
        <v>43141</v>
      </c>
      <c r="H517" s="79"/>
      <c r="I517" s="79">
        <f t="shared" si="285"/>
        <v>43141</v>
      </c>
      <c r="J517" s="79"/>
      <c r="K517" s="79">
        <f t="shared" si="286"/>
        <v>43141</v>
      </c>
      <c r="L517" s="79"/>
      <c r="M517" s="79">
        <f t="shared" si="287"/>
        <v>43141</v>
      </c>
      <c r="N517" s="79"/>
      <c r="O517" s="79">
        <f t="shared" si="288"/>
        <v>43141</v>
      </c>
      <c r="P517" s="79">
        <f>-18330+21100</f>
        <v>2770</v>
      </c>
      <c r="Q517" s="79">
        <f t="shared" si="289"/>
        <v>45911</v>
      </c>
      <c r="R517" s="79"/>
      <c r="S517" s="79">
        <f t="shared" si="290"/>
        <v>45911</v>
      </c>
    </row>
    <row r="518" spans="1:19" s="26" customFormat="1" ht="21" customHeight="1">
      <c r="A518" s="84"/>
      <c r="B518" s="80"/>
      <c r="C518" s="66">
        <v>4210</v>
      </c>
      <c r="D518" s="41" t="s">
        <v>90</v>
      </c>
      <c r="E518" s="79">
        <f>6608+8000+1500+1000+3500+2000+3000+2500+14000</f>
        <v>42108</v>
      </c>
      <c r="F518" s="79"/>
      <c r="G518" s="79">
        <f t="shared" si="284"/>
        <v>42108</v>
      </c>
      <c r="H518" s="79"/>
      <c r="I518" s="79">
        <f t="shared" si="285"/>
        <v>42108</v>
      </c>
      <c r="J518" s="79"/>
      <c r="K518" s="79">
        <f t="shared" si="286"/>
        <v>42108</v>
      </c>
      <c r="L518" s="79">
        <f>-2-1200</f>
        <v>-1202</v>
      </c>
      <c r="M518" s="79">
        <f t="shared" si="287"/>
        <v>40906</v>
      </c>
      <c r="N518" s="79"/>
      <c r="O518" s="79">
        <f t="shared" si="288"/>
        <v>40906</v>
      </c>
      <c r="P518" s="79">
        <f>-12800-1718</f>
        <v>-14518</v>
      </c>
      <c r="Q518" s="79">
        <f t="shared" si="289"/>
        <v>26388</v>
      </c>
      <c r="R518" s="79"/>
      <c r="S518" s="79">
        <f t="shared" si="290"/>
        <v>26388</v>
      </c>
    </row>
    <row r="519" spans="1:19" s="26" customFormat="1" ht="21" customHeight="1">
      <c r="A519" s="84"/>
      <c r="B519" s="80"/>
      <c r="C519" s="66">
        <v>4220</v>
      </c>
      <c r="D519" s="41" t="s">
        <v>178</v>
      </c>
      <c r="E519" s="79"/>
      <c r="F519" s="79"/>
      <c r="G519" s="79"/>
      <c r="H519" s="79"/>
      <c r="I519" s="79"/>
      <c r="J519" s="79"/>
      <c r="K519" s="79">
        <v>0</v>
      </c>
      <c r="L519" s="79">
        <v>1200</v>
      </c>
      <c r="M519" s="79">
        <f t="shared" si="287"/>
        <v>1200</v>
      </c>
      <c r="N519" s="79"/>
      <c r="O519" s="79">
        <f t="shared" si="288"/>
        <v>1200</v>
      </c>
      <c r="P519" s="79">
        <v>-1200</v>
      </c>
      <c r="Q519" s="79">
        <f t="shared" si="289"/>
        <v>0</v>
      </c>
      <c r="R519" s="79"/>
      <c r="S519" s="79">
        <f t="shared" si="290"/>
        <v>0</v>
      </c>
    </row>
    <row r="520" spans="1:19" s="26" customFormat="1" ht="21" customHeight="1">
      <c r="A520" s="84"/>
      <c r="B520" s="80"/>
      <c r="C520" s="66">
        <v>4260</v>
      </c>
      <c r="D520" s="41" t="s">
        <v>93</v>
      </c>
      <c r="E520" s="79">
        <v>800</v>
      </c>
      <c r="F520" s="79"/>
      <c r="G520" s="79">
        <f t="shared" si="284"/>
        <v>800</v>
      </c>
      <c r="H520" s="79"/>
      <c r="I520" s="79">
        <f t="shared" si="285"/>
        <v>800</v>
      </c>
      <c r="J520" s="79"/>
      <c r="K520" s="79">
        <f t="shared" si="286"/>
        <v>800</v>
      </c>
      <c r="L520" s="79"/>
      <c r="M520" s="79">
        <f t="shared" si="287"/>
        <v>800</v>
      </c>
      <c r="N520" s="79"/>
      <c r="O520" s="79">
        <f t="shared" si="288"/>
        <v>800</v>
      </c>
      <c r="P520" s="79"/>
      <c r="Q520" s="79">
        <f t="shared" si="289"/>
        <v>800</v>
      </c>
      <c r="R520" s="79"/>
      <c r="S520" s="79">
        <f t="shared" si="290"/>
        <v>800</v>
      </c>
    </row>
    <row r="521" spans="1:19" s="26" customFormat="1" ht="21" customHeight="1">
      <c r="A521" s="84"/>
      <c r="B521" s="80"/>
      <c r="C521" s="84">
        <v>4300</v>
      </c>
      <c r="D521" s="88" t="s">
        <v>77</v>
      </c>
      <c r="E521" s="79">
        <f>700+5923+2000+9870</f>
        <v>18493</v>
      </c>
      <c r="F521" s="79"/>
      <c r="G521" s="79">
        <f t="shared" si="284"/>
        <v>18493</v>
      </c>
      <c r="H521" s="79"/>
      <c r="I521" s="79">
        <f t="shared" si="285"/>
        <v>18493</v>
      </c>
      <c r="J521" s="79"/>
      <c r="K521" s="79">
        <f t="shared" si="286"/>
        <v>18493</v>
      </c>
      <c r="L521" s="79"/>
      <c r="M521" s="79">
        <f t="shared" si="287"/>
        <v>18493</v>
      </c>
      <c r="N521" s="79"/>
      <c r="O521" s="79">
        <f t="shared" si="288"/>
        <v>18493</v>
      </c>
      <c r="P521" s="79">
        <f>-9870+4598</f>
        <v>-5272</v>
      </c>
      <c r="Q521" s="79">
        <f t="shared" si="289"/>
        <v>13221</v>
      </c>
      <c r="R521" s="79"/>
      <c r="S521" s="79">
        <f t="shared" si="290"/>
        <v>13221</v>
      </c>
    </row>
    <row r="522" spans="1:19" s="26" customFormat="1" ht="21" customHeight="1">
      <c r="A522" s="84"/>
      <c r="B522" s="80"/>
      <c r="C522" s="84">
        <v>4780</v>
      </c>
      <c r="D522" s="88" t="s">
        <v>318</v>
      </c>
      <c r="E522" s="79">
        <v>64</v>
      </c>
      <c r="F522" s="79"/>
      <c r="G522" s="79">
        <f t="shared" si="284"/>
        <v>64</v>
      </c>
      <c r="H522" s="79"/>
      <c r="I522" s="79">
        <f t="shared" si="285"/>
        <v>64</v>
      </c>
      <c r="J522" s="79"/>
      <c r="K522" s="79">
        <f t="shared" si="286"/>
        <v>64</v>
      </c>
      <c r="L522" s="79"/>
      <c r="M522" s="79">
        <f t="shared" si="287"/>
        <v>64</v>
      </c>
      <c r="N522" s="79"/>
      <c r="O522" s="79">
        <f t="shared" si="288"/>
        <v>64</v>
      </c>
      <c r="P522" s="79">
        <v>-64</v>
      </c>
      <c r="Q522" s="79">
        <f t="shared" si="289"/>
        <v>0</v>
      </c>
      <c r="R522" s="79"/>
      <c r="S522" s="79">
        <f t="shared" si="290"/>
        <v>0</v>
      </c>
    </row>
    <row r="523" spans="1:19" s="26" customFormat="1" ht="21" customHeight="1">
      <c r="A523" s="84"/>
      <c r="B523" s="66">
        <v>92695</v>
      </c>
      <c r="C523" s="84"/>
      <c r="D523" s="88" t="s">
        <v>6</v>
      </c>
      <c r="E523" s="79">
        <f aca="true" t="shared" si="291" ref="E523:N523">SUM(E526:E526)</f>
        <v>3160</v>
      </c>
      <c r="F523" s="79">
        <f t="shared" si="291"/>
        <v>0</v>
      </c>
      <c r="G523" s="79">
        <f t="shared" si="291"/>
        <v>3160</v>
      </c>
      <c r="H523" s="79">
        <f t="shared" si="291"/>
        <v>0</v>
      </c>
      <c r="I523" s="79">
        <f t="shared" si="291"/>
        <v>3160</v>
      </c>
      <c r="J523" s="79">
        <f t="shared" si="291"/>
        <v>0</v>
      </c>
      <c r="K523" s="79">
        <f t="shared" si="291"/>
        <v>3160</v>
      </c>
      <c r="L523" s="79">
        <f t="shared" si="291"/>
        <v>-5</v>
      </c>
      <c r="M523" s="79">
        <f t="shared" si="291"/>
        <v>3155</v>
      </c>
      <c r="N523" s="79">
        <f t="shared" si="291"/>
        <v>0</v>
      </c>
      <c r="O523" s="79">
        <f>SUM(O524:O529)</f>
        <v>3155</v>
      </c>
      <c r="P523" s="79">
        <f>SUM(P524:P529)</f>
        <v>42906</v>
      </c>
      <c r="Q523" s="79">
        <f>SUM(Q524:Q529)</f>
        <v>46061</v>
      </c>
      <c r="R523" s="79">
        <f>SUM(R524:R529)</f>
        <v>0</v>
      </c>
      <c r="S523" s="79">
        <f>SUM(S524:S529)</f>
        <v>46061</v>
      </c>
    </row>
    <row r="524" spans="1:19" s="26" customFormat="1" ht="21" customHeight="1">
      <c r="A524" s="84"/>
      <c r="B524" s="66"/>
      <c r="C524" s="84">
        <v>4110</v>
      </c>
      <c r="D524" s="41" t="s">
        <v>84</v>
      </c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>
        <v>0</v>
      </c>
      <c r="P524" s="79">
        <v>642</v>
      </c>
      <c r="Q524" s="79">
        <f aca="true" t="shared" si="292" ref="Q524:Q529">SUM(O524:P524)</f>
        <v>642</v>
      </c>
      <c r="R524" s="79"/>
      <c r="S524" s="79">
        <f aca="true" t="shared" si="293" ref="S524:S529">SUM(Q524:R524)</f>
        <v>642</v>
      </c>
    </row>
    <row r="525" spans="1:19" s="26" customFormat="1" ht="21" customHeight="1">
      <c r="A525" s="84"/>
      <c r="B525" s="66"/>
      <c r="C525" s="84">
        <v>4170</v>
      </c>
      <c r="D525" s="41" t="s">
        <v>196</v>
      </c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>
        <v>0</v>
      </c>
      <c r="P525" s="79">
        <f>5640+8460+4230</f>
        <v>18330</v>
      </c>
      <c r="Q525" s="79">
        <f t="shared" si="292"/>
        <v>18330</v>
      </c>
      <c r="R525" s="79"/>
      <c r="S525" s="79">
        <f t="shared" si="293"/>
        <v>18330</v>
      </c>
    </row>
    <row r="526" spans="1:19" s="26" customFormat="1" ht="21" customHeight="1">
      <c r="A526" s="84"/>
      <c r="B526" s="66"/>
      <c r="C526" s="66">
        <v>4210</v>
      </c>
      <c r="D526" s="41" t="s">
        <v>90</v>
      </c>
      <c r="E526" s="79">
        <f>1260+1900</f>
        <v>3160</v>
      </c>
      <c r="F526" s="79"/>
      <c r="G526" s="79">
        <f>SUM(E526:F526)</f>
        <v>3160</v>
      </c>
      <c r="H526" s="79"/>
      <c r="I526" s="79">
        <f>SUM(G526:H526)</f>
        <v>3160</v>
      </c>
      <c r="J526" s="79"/>
      <c r="K526" s="79">
        <f>SUM(I526:J526)</f>
        <v>3160</v>
      </c>
      <c r="L526" s="79">
        <v>-5</v>
      </c>
      <c r="M526" s="79">
        <f>SUM(K526:L526)</f>
        <v>3155</v>
      </c>
      <c r="N526" s="79"/>
      <c r="O526" s="79">
        <f>SUM(M526:N526)</f>
        <v>3155</v>
      </c>
      <c r="P526" s="79">
        <f>3500+3500+2000</f>
        <v>9000</v>
      </c>
      <c r="Q526" s="79">
        <f t="shared" si="292"/>
        <v>12155</v>
      </c>
      <c r="R526" s="79">
        <v>-300</v>
      </c>
      <c r="S526" s="79">
        <f t="shared" si="293"/>
        <v>11855</v>
      </c>
    </row>
    <row r="527" spans="1:19" s="26" customFormat="1" ht="21" customHeight="1">
      <c r="A527" s="84"/>
      <c r="B527" s="66"/>
      <c r="C527" s="66">
        <v>4220</v>
      </c>
      <c r="D527" s="41" t="s">
        <v>178</v>
      </c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>
        <v>0</v>
      </c>
      <c r="P527" s="79">
        <v>5000</v>
      </c>
      <c r="Q527" s="79">
        <f t="shared" si="292"/>
        <v>5000</v>
      </c>
      <c r="R527" s="79"/>
      <c r="S527" s="79">
        <f t="shared" si="293"/>
        <v>5000</v>
      </c>
    </row>
    <row r="528" spans="1:19" s="26" customFormat="1" ht="21" customHeight="1">
      <c r="A528" s="84"/>
      <c r="B528" s="66"/>
      <c r="C528" s="66">
        <v>4300</v>
      </c>
      <c r="D528" s="88" t="s">
        <v>77</v>
      </c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>
        <v>0</v>
      </c>
      <c r="P528" s="79">
        <f>3500+6370</f>
        <v>9870</v>
      </c>
      <c r="Q528" s="79">
        <f t="shared" si="292"/>
        <v>9870</v>
      </c>
      <c r="R528" s="79">
        <v>300</v>
      </c>
      <c r="S528" s="79">
        <f t="shared" si="293"/>
        <v>10170</v>
      </c>
    </row>
    <row r="529" spans="1:19" s="26" customFormat="1" ht="21" customHeight="1">
      <c r="A529" s="84"/>
      <c r="B529" s="66"/>
      <c r="C529" s="66">
        <v>4780</v>
      </c>
      <c r="D529" s="88" t="s">
        <v>318</v>
      </c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>
        <v>0</v>
      </c>
      <c r="P529" s="79">
        <v>64</v>
      </c>
      <c r="Q529" s="79">
        <f t="shared" si="292"/>
        <v>64</v>
      </c>
      <c r="R529" s="79"/>
      <c r="S529" s="79">
        <f t="shared" si="293"/>
        <v>64</v>
      </c>
    </row>
    <row r="530" spans="1:19" s="9" customFormat="1" ht="24.75" customHeight="1">
      <c r="A530" s="11"/>
      <c r="B530" s="11"/>
      <c r="C530" s="11"/>
      <c r="D530" s="245" t="s">
        <v>65</v>
      </c>
      <c r="E530" s="40">
        <f aca="true" t="shared" si="294" ref="E530:M530">SUM(E502,E490,E457,E430,E347,E329,E205,E201,E198,E188,E145,E130,E55,E47,E28,E19,E7,E408)</f>
        <v>64235944</v>
      </c>
      <c r="F530" s="40">
        <f t="shared" si="294"/>
        <v>1096438</v>
      </c>
      <c r="G530" s="40">
        <f t="shared" si="294"/>
        <v>65332382</v>
      </c>
      <c r="H530" s="40">
        <f t="shared" si="294"/>
        <v>0</v>
      </c>
      <c r="I530" s="40">
        <f t="shared" si="294"/>
        <v>65332382</v>
      </c>
      <c r="J530" s="40">
        <f t="shared" si="294"/>
        <v>1373437</v>
      </c>
      <c r="K530" s="40">
        <f t="shared" si="294"/>
        <v>66705819</v>
      </c>
      <c r="L530" s="40">
        <f t="shared" si="294"/>
        <v>238136</v>
      </c>
      <c r="M530" s="40">
        <f t="shared" si="294"/>
        <v>66943955</v>
      </c>
      <c r="N530" s="40">
        <f aca="true" t="shared" si="295" ref="N530:S530">SUM(N502,N490,N457,N430,N347,N329,N205,N201,N198,N188,N145,N130,N55,N47,N28,N19,N7,N408)</f>
        <v>486700</v>
      </c>
      <c r="O530" s="40">
        <f t="shared" si="295"/>
        <v>67430655</v>
      </c>
      <c r="P530" s="40">
        <f t="shared" si="295"/>
        <v>398585</v>
      </c>
      <c r="Q530" s="40">
        <f t="shared" si="295"/>
        <v>67829240</v>
      </c>
      <c r="R530" s="40">
        <f t="shared" si="295"/>
        <v>485438</v>
      </c>
      <c r="S530" s="40">
        <f t="shared" si="295"/>
        <v>68314678</v>
      </c>
    </row>
    <row r="531" spans="1:19" ht="12.75">
      <c r="A531" s="55"/>
      <c r="B531" s="55"/>
      <c r="C531" s="55"/>
      <c r="D531" s="55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</row>
    <row r="532" spans="4:19" ht="12.75">
      <c r="D532" s="55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</row>
    <row r="533" spans="4:19" ht="12.75">
      <c r="D533" s="55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</row>
    <row r="534" spans="1:19" s="23" customFormat="1" ht="12.75">
      <c r="A534" s="25"/>
      <c r="B534" s="25"/>
      <c r="C534" s="25"/>
      <c r="D534" s="25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>
        <v>5000</v>
      </c>
      <c r="Q534" s="24"/>
      <c r="R534" s="24"/>
      <c r="S534" s="24"/>
    </row>
    <row r="535" spans="1:19" s="23" customFormat="1" ht="12.75">
      <c r="A535" s="25"/>
      <c r="B535" s="25"/>
      <c r="C535" s="25"/>
      <c r="D535" s="25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>
        <v>21100</v>
      </c>
      <c r="Q535" s="24"/>
      <c r="R535" s="24"/>
      <c r="S535" s="24"/>
    </row>
    <row r="536" spans="1:19" s="23" customFormat="1" ht="12.75">
      <c r="A536" s="25"/>
      <c r="B536" s="25"/>
      <c r="C536" s="25"/>
      <c r="D536" s="25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>
        <v>1584</v>
      </c>
      <c r="Q536" s="24"/>
      <c r="R536" s="24"/>
      <c r="S536" s="24"/>
    </row>
    <row r="537" spans="1:19" s="23" customFormat="1" ht="12.75">
      <c r="A537" s="25"/>
      <c r="B537" s="25"/>
      <c r="C537" s="25"/>
      <c r="D537" s="25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>
        <v>905</v>
      </c>
      <c r="Q537" s="24"/>
      <c r="R537" s="24"/>
      <c r="S537" s="24"/>
    </row>
    <row r="538" spans="1:19" s="23" customFormat="1" ht="12.75">
      <c r="A538" s="25"/>
      <c r="B538" s="25"/>
      <c r="C538" s="25"/>
      <c r="D538" s="25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>
        <v>12236</v>
      </c>
      <c r="Q538" s="24"/>
      <c r="R538" s="248"/>
      <c r="S538" s="24"/>
    </row>
    <row r="539" spans="1:19" s="23" customFormat="1" ht="12.75">
      <c r="A539" s="25"/>
      <c r="B539" s="25"/>
      <c r="C539" s="25"/>
      <c r="D539" s="25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>
        <v>14900</v>
      </c>
      <c r="Q539" s="24"/>
      <c r="R539" s="24"/>
      <c r="S539" s="24"/>
    </row>
    <row r="540" spans="1:19" s="23" customFormat="1" ht="12.75">
      <c r="A540" s="25"/>
      <c r="B540" s="25"/>
      <c r="C540" s="25"/>
      <c r="D540" s="25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>
        <v>300147</v>
      </c>
      <c r="Q540" s="24"/>
      <c r="R540" s="24"/>
      <c r="S540" s="24"/>
    </row>
    <row r="541" spans="1:19" s="23" customFormat="1" ht="12.75">
      <c r="A541" s="25"/>
      <c r="B541" s="25"/>
      <c r="C541" s="25"/>
      <c r="D541" s="25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>
        <v>35213</v>
      </c>
      <c r="Q541" s="24"/>
      <c r="R541" s="24"/>
      <c r="S541" s="24"/>
    </row>
    <row r="542" spans="1:19" s="23" customFormat="1" ht="12.75">
      <c r="A542" s="25"/>
      <c r="B542" s="25"/>
      <c r="C542" s="25"/>
      <c r="D542" s="25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8">
        <f>SUM(P534:P541)</f>
        <v>391085</v>
      </c>
      <c r="Q542" s="24"/>
      <c r="R542" s="248"/>
      <c r="S542" s="24"/>
    </row>
    <row r="543" spans="1:19" s="23" customFormat="1" ht="12.75">
      <c r="A543" s="25"/>
      <c r="B543" s="25"/>
      <c r="C543" s="25"/>
      <c r="D543" s="25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</row>
    <row r="544" spans="1:19" s="23" customFormat="1" ht="12.75">
      <c r="A544" s="25"/>
      <c r="B544" s="25"/>
      <c r="C544" s="25"/>
      <c r="D544" s="25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</row>
    <row r="545" spans="1:19" s="23" customFormat="1" ht="12.75">
      <c r="A545" s="25"/>
      <c r="B545" s="25"/>
      <c r="C545" s="25"/>
      <c r="D545" s="25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</row>
    <row r="546" spans="1:19" s="23" customFormat="1" ht="12.75">
      <c r="A546" s="25"/>
      <c r="B546" s="25"/>
      <c r="C546" s="25"/>
      <c r="D546" s="25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</row>
    <row r="547" spans="1:19" s="23" customFormat="1" ht="12.75">
      <c r="A547" s="25"/>
      <c r="B547" s="25"/>
      <c r="C547" s="25"/>
      <c r="D547" s="25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</row>
    <row r="548" spans="1:19" s="23" customFormat="1" ht="12.75">
      <c r="A548" s="25"/>
      <c r="B548" s="25"/>
      <c r="C548" s="25"/>
      <c r="D548" s="25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</row>
    <row r="549" spans="1:19" s="23" customFormat="1" ht="12.75">
      <c r="A549" s="25"/>
      <c r="B549" s="25"/>
      <c r="C549" s="25"/>
      <c r="D549" s="25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</row>
    <row r="550" spans="1:19" s="23" customFormat="1" ht="12.75">
      <c r="A550" s="25"/>
      <c r="B550" s="25"/>
      <c r="C550" s="25"/>
      <c r="D550" s="25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</row>
    <row r="551" spans="1:19" s="23" customFormat="1" ht="12.75">
      <c r="A551" s="25"/>
      <c r="B551" s="25"/>
      <c r="C551" s="25"/>
      <c r="D551" s="25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</row>
    <row r="552" spans="1:19" s="23" customFormat="1" ht="12.75">
      <c r="A552" s="25"/>
      <c r="B552" s="25"/>
      <c r="C552" s="25"/>
      <c r="D552" s="25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</row>
    <row r="553" spans="1:19" s="23" customFormat="1" ht="12.75">
      <c r="A553" s="25"/>
      <c r="B553" s="25"/>
      <c r="C553" s="25"/>
      <c r="D553" s="25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</row>
    <row r="554" spans="1:19" s="23" customFormat="1" ht="12.75">
      <c r="A554" s="25"/>
      <c r="B554" s="25"/>
      <c r="C554" s="25"/>
      <c r="D554" s="25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</row>
    <row r="555" spans="1:19" s="23" customFormat="1" ht="12.75">
      <c r="A555" s="25"/>
      <c r="B555" s="25"/>
      <c r="C555" s="25"/>
      <c r="D555" s="25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</row>
    <row r="556" spans="1:19" s="23" customFormat="1" ht="12.75">
      <c r="A556" s="25"/>
      <c r="B556" s="25"/>
      <c r="C556" s="25"/>
      <c r="D556" s="25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</row>
    <row r="557" spans="1:19" s="23" customFormat="1" ht="12.75">
      <c r="A557" s="25"/>
      <c r="B557" s="25"/>
      <c r="C557" s="25"/>
      <c r="D557" s="25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</row>
    <row r="558" spans="1:19" s="23" customFormat="1" ht="12.75">
      <c r="A558" s="25"/>
      <c r="B558" s="25"/>
      <c r="C558" s="25"/>
      <c r="D558" s="25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</row>
    <row r="559" spans="1:19" s="23" customFormat="1" ht="12.75">
      <c r="A559" s="25"/>
      <c r="B559" s="25"/>
      <c r="C559" s="25"/>
      <c r="D559" s="25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</row>
    <row r="560" spans="1:19" s="23" customFormat="1" ht="12.75">
      <c r="A560" s="25"/>
      <c r="B560" s="25"/>
      <c r="C560" s="25"/>
      <c r="D560" s="25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</row>
    <row r="561" spans="1:19" s="23" customFormat="1" ht="12.75">
      <c r="A561" s="25"/>
      <c r="B561" s="25"/>
      <c r="C561" s="25"/>
      <c r="D561" s="25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</row>
    <row r="562" spans="1:19" s="23" customFormat="1" ht="12.75">
      <c r="A562" s="25"/>
      <c r="B562" s="25"/>
      <c r="C562" s="25"/>
      <c r="D562" s="25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</row>
    <row r="563" spans="1:19" s="23" customFormat="1" ht="12.75">
      <c r="A563" s="25"/>
      <c r="B563" s="25"/>
      <c r="C563" s="25"/>
      <c r="D563" s="25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</row>
    <row r="564" spans="1:19" s="23" customFormat="1" ht="12.75">
      <c r="A564" s="25"/>
      <c r="B564" s="25"/>
      <c r="C564" s="25"/>
      <c r="D564" s="25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</row>
    <row r="565" spans="1:19" s="23" customFormat="1" ht="12.75">
      <c r="A565" s="25"/>
      <c r="B565" s="25"/>
      <c r="C565" s="25"/>
      <c r="D565" s="25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</row>
    <row r="566" spans="1:19" s="23" customFormat="1" ht="12.75">
      <c r="A566" s="25"/>
      <c r="B566" s="25"/>
      <c r="C566" s="25"/>
      <c r="D566" s="25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</row>
    <row r="567" spans="1:19" s="23" customFormat="1" ht="12.75">
      <c r="A567" s="25"/>
      <c r="B567" s="25"/>
      <c r="C567" s="25"/>
      <c r="D567" s="25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</row>
    <row r="568" spans="1:19" s="23" customFormat="1" ht="12.75">
      <c r="A568" s="25"/>
      <c r="B568" s="25"/>
      <c r="C568" s="25"/>
      <c r="D568" s="25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</row>
    <row r="569" spans="1:19" s="23" customFormat="1" ht="12.75">
      <c r="A569" s="25"/>
      <c r="B569" s="25"/>
      <c r="C569" s="25"/>
      <c r="D569" s="25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</row>
    <row r="570" spans="1:19" s="23" customFormat="1" ht="12.75">
      <c r="A570" s="25"/>
      <c r="B570" s="25"/>
      <c r="C570" s="25"/>
      <c r="D570" s="25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</row>
    <row r="571" spans="1:19" s="23" customFormat="1" ht="12.75">
      <c r="A571" s="25"/>
      <c r="B571" s="25"/>
      <c r="C571" s="25"/>
      <c r="D571" s="25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</row>
    <row r="572" spans="1:19" s="23" customFormat="1" ht="12.75">
      <c r="A572" s="25"/>
      <c r="B572" s="25"/>
      <c r="C572" s="25"/>
      <c r="D572" s="25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</row>
    <row r="573" spans="1:19" s="23" customFormat="1" ht="12.75">
      <c r="A573" s="25"/>
      <c r="B573" s="25"/>
      <c r="C573" s="25"/>
      <c r="D573" s="25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</row>
    <row r="574" spans="1:19" s="23" customFormat="1" ht="12.75">
      <c r="A574" s="25"/>
      <c r="B574" s="25"/>
      <c r="C574" s="25"/>
      <c r="D574" s="25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</row>
    <row r="575" spans="1:19" s="23" customFormat="1" ht="12.75">
      <c r="A575" s="25"/>
      <c r="B575" s="25"/>
      <c r="C575" s="25"/>
      <c r="D575" s="25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</row>
    <row r="576" spans="1:19" s="23" customFormat="1" ht="12.75">
      <c r="A576" s="25"/>
      <c r="B576" s="25"/>
      <c r="C576" s="25"/>
      <c r="D576" s="25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</row>
    <row r="577" spans="1:19" s="23" customFormat="1" ht="12.75">
      <c r="A577" s="25"/>
      <c r="B577" s="25"/>
      <c r="C577" s="25"/>
      <c r="D577" s="25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</row>
    <row r="578" spans="1:19" s="23" customFormat="1" ht="12.75">
      <c r="A578" s="25"/>
      <c r="B578" s="25"/>
      <c r="C578" s="25"/>
      <c r="D578" s="25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</row>
    <row r="579" spans="1:19" s="23" customFormat="1" ht="12.75">
      <c r="A579" s="25"/>
      <c r="B579" s="25"/>
      <c r="C579" s="25"/>
      <c r="D579" s="25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</row>
    <row r="580" spans="1:19" s="23" customFormat="1" ht="12.75">
      <c r="A580" s="25"/>
      <c r="B580" s="25"/>
      <c r="C580" s="25"/>
      <c r="D580" s="25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</row>
    <row r="581" spans="1:19" s="23" customFormat="1" ht="12.75">
      <c r="A581" s="25"/>
      <c r="B581" s="25"/>
      <c r="C581" s="25"/>
      <c r="D581" s="25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</row>
    <row r="582" spans="1:19" s="23" customFormat="1" ht="12.75">
      <c r="A582" s="25"/>
      <c r="B582" s="25"/>
      <c r="C582" s="25"/>
      <c r="D582" s="25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</row>
    <row r="583" spans="1:19" s="23" customFormat="1" ht="12.75">
      <c r="A583" s="25"/>
      <c r="B583" s="25"/>
      <c r="C583" s="25"/>
      <c r="D583" s="25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</row>
    <row r="584" spans="1:19" s="23" customFormat="1" ht="12.75">
      <c r="A584" s="25"/>
      <c r="B584" s="25"/>
      <c r="C584" s="25"/>
      <c r="D584" s="25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</row>
    <row r="585" spans="1:19" s="23" customFormat="1" ht="12.75">
      <c r="A585" s="25"/>
      <c r="B585" s="25"/>
      <c r="C585" s="25"/>
      <c r="D585" s="25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</row>
    <row r="586" spans="1:19" s="23" customFormat="1" ht="12.75">
      <c r="A586" s="25"/>
      <c r="B586" s="25"/>
      <c r="C586" s="25"/>
      <c r="D586" s="25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</row>
    <row r="587" spans="1:19" s="23" customFormat="1" ht="12.75">
      <c r="A587" s="25"/>
      <c r="B587" s="25"/>
      <c r="C587" s="25"/>
      <c r="D587" s="25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</row>
    <row r="588" spans="1:19" s="23" customFormat="1" ht="12.75">
      <c r="A588" s="25"/>
      <c r="B588" s="25"/>
      <c r="C588" s="25"/>
      <c r="D588" s="25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</row>
    <row r="589" spans="1:19" s="23" customFormat="1" ht="12.75">
      <c r="A589" s="25"/>
      <c r="B589" s="25"/>
      <c r="C589" s="25"/>
      <c r="D589" s="25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</row>
    <row r="590" spans="1:19" s="23" customFormat="1" ht="12.75">
      <c r="A590" s="25"/>
      <c r="B590" s="25"/>
      <c r="C590" s="25"/>
      <c r="D590" s="25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</row>
    <row r="591" spans="1:19" s="23" customFormat="1" ht="12.75">
      <c r="A591" s="25"/>
      <c r="B591" s="25"/>
      <c r="C591" s="25"/>
      <c r="D591" s="25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</row>
    <row r="592" spans="1:19" s="23" customFormat="1" ht="12.75">
      <c r="A592" s="25"/>
      <c r="B592" s="25"/>
      <c r="C592" s="25"/>
      <c r="D592" s="25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</row>
    <row r="593" spans="1:19" s="23" customFormat="1" ht="12.75">
      <c r="A593" s="25"/>
      <c r="B593" s="25"/>
      <c r="C593" s="25"/>
      <c r="D593" s="25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</row>
    <row r="594" spans="1:19" s="23" customFormat="1" ht="12.75">
      <c r="A594" s="25"/>
      <c r="B594" s="25"/>
      <c r="C594" s="25"/>
      <c r="D594" s="25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</row>
    <row r="595" spans="1:19" s="23" customFormat="1" ht="12.75">
      <c r="A595" s="25"/>
      <c r="B595" s="25"/>
      <c r="C595" s="25"/>
      <c r="D595" s="25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</row>
    <row r="596" spans="1:19" s="23" customFormat="1" ht="12.75">
      <c r="A596" s="25"/>
      <c r="B596" s="25"/>
      <c r="C596" s="25"/>
      <c r="D596" s="25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</row>
    <row r="597" spans="1:19" s="23" customFormat="1" ht="12.75">
      <c r="A597" s="25"/>
      <c r="B597" s="25"/>
      <c r="C597" s="25"/>
      <c r="D597" s="25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</row>
    <row r="598" spans="1:19" s="23" customFormat="1" ht="12.75">
      <c r="A598" s="25"/>
      <c r="B598" s="25"/>
      <c r="C598" s="25"/>
      <c r="D598" s="25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</row>
    <row r="599" spans="1:19" s="23" customFormat="1" ht="12.75">
      <c r="A599" s="25"/>
      <c r="B599" s="25"/>
      <c r="C599" s="25"/>
      <c r="D599" s="25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</row>
    <row r="600" spans="1:19" s="23" customFormat="1" ht="12.75">
      <c r="A600" s="25"/>
      <c r="B600" s="25"/>
      <c r="C600" s="25"/>
      <c r="D600" s="25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</row>
    <row r="601" spans="1:19" s="23" customFormat="1" ht="12.75">
      <c r="A601" s="25"/>
      <c r="B601" s="25"/>
      <c r="C601" s="25"/>
      <c r="D601" s="25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</row>
    <row r="602" spans="1:19" s="23" customFormat="1" ht="12.75">
      <c r="A602" s="25"/>
      <c r="B602" s="25"/>
      <c r="C602" s="25"/>
      <c r="D602" s="25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</row>
    <row r="603" spans="1:19" s="23" customFormat="1" ht="12.75">
      <c r="A603" s="25"/>
      <c r="B603" s="25"/>
      <c r="C603" s="25"/>
      <c r="D603" s="25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</row>
    <row r="604" spans="1:19" s="23" customFormat="1" ht="12.75">
      <c r="A604" s="25"/>
      <c r="B604" s="25"/>
      <c r="C604" s="25"/>
      <c r="D604" s="25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</row>
    <row r="605" spans="1:19" s="23" customFormat="1" ht="12.75">
      <c r="A605" s="25"/>
      <c r="B605" s="25"/>
      <c r="C605" s="25"/>
      <c r="D605" s="25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</row>
    <row r="606" spans="1:19" s="23" customFormat="1" ht="12.75">
      <c r="A606" s="25"/>
      <c r="B606" s="25"/>
      <c r="C606" s="25"/>
      <c r="D606" s="25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</row>
    <row r="607" spans="1:19" s="23" customFormat="1" ht="12.75">
      <c r="A607" s="25"/>
      <c r="B607" s="25"/>
      <c r="C607" s="25"/>
      <c r="D607" s="25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</row>
    <row r="608" spans="1:19" s="23" customFormat="1" ht="12.75">
      <c r="A608" s="25"/>
      <c r="B608" s="25"/>
      <c r="C608" s="25"/>
      <c r="D608" s="25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</row>
    <row r="609" spans="1:19" s="23" customFormat="1" ht="12.75">
      <c r="A609" s="25"/>
      <c r="B609" s="25"/>
      <c r="C609" s="25"/>
      <c r="D609" s="25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</row>
    <row r="610" spans="1:19" s="23" customFormat="1" ht="12.75">
      <c r="A610" s="25"/>
      <c r="B610" s="25"/>
      <c r="C610" s="25"/>
      <c r="D610" s="25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</row>
    <row r="611" spans="1:19" s="23" customFormat="1" ht="12.75">
      <c r="A611" s="25"/>
      <c r="B611" s="25"/>
      <c r="C611" s="25"/>
      <c r="D611" s="25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</row>
    <row r="612" spans="1:19" s="23" customFormat="1" ht="12.75">
      <c r="A612" s="25"/>
      <c r="B612" s="25"/>
      <c r="C612" s="25"/>
      <c r="D612" s="25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</row>
    <row r="613" spans="1:19" s="23" customFormat="1" ht="12.75">
      <c r="A613" s="25"/>
      <c r="B613" s="25"/>
      <c r="C613" s="25"/>
      <c r="D613" s="25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</row>
    <row r="614" spans="1:19" s="23" customFormat="1" ht="12.75">
      <c r="A614" s="25"/>
      <c r="B614" s="25"/>
      <c r="C614" s="25"/>
      <c r="D614" s="25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</row>
    <row r="615" spans="1:19" s="23" customFormat="1" ht="12.75">
      <c r="A615" s="25"/>
      <c r="B615" s="25"/>
      <c r="C615" s="25"/>
      <c r="D615" s="25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</row>
    <row r="616" spans="1:19" s="23" customFormat="1" ht="12.75">
      <c r="A616" s="25"/>
      <c r="B616" s="25"/>
      <c r="C616" s="25"/>
      <c r="D616" s="25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</row>
    <row r="617" spans="1:19" s="23" customFormat="1" ht="12.75">
      <c r="A617" s="25"/>
      <c r="B617" s="25"/>
      <c r="C617" s="25"/>
      <c r="D617" s="25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</row>
    <row r="618" spans="1:19" s="23" customFormat="1" ht="12.75">
      <c r="A618" s="25"/>
      <c r="B618" s="25"/>
      <c r="C618" s="25"/>
      <c r="D618" s="25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</row>
    <row r="619" spans="1:19" s="23" customFormat="1" ht="12.75">
      <c r="A619" s="25"/>
      <c r="B619" s="25"/>
      <c r="C619" s="25"/>
      <c r="D619" s="25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</row>
    <row r="620" spans="1:19" s="23" customFormat="1" ht="12.75">
      <c r="A620" s="25"/>
      <c r="B620" s="25"/>
      <c r="C620" s="25"/>
      <c r="D620" s="25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</row>
    <row r="621" spans="1:19" s="23" customFormat="1" ht="12.75">
      <c r="A621" s="25"/>
      <c r="B621" s="25"/>
      <c r="C621" s="25"/>
      <c r="D621" s="25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</row>
    <row r="622" spans="1:19" s="23" customFormat="1" ht="12.75">
      <c r="A622" s="25"/>
      <c r="B622" s="25"/>
      <c r="C622" s="25"/>
      <c r="D622" s="25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</row>
    <row r="623" spans="1:19" s="23" customFormat="1" ht="12.75">
      <c r="A623" s="25"/>
      <c r="B623" s="25"/>
      <c r="C623" s="25"/>
      <c r="D623" s="25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</row>
    <row r="624" spans="1:19" s="23" customFormat="1" ht="12.75">
      <c r="A624" s="25"/>
      <c r="B624" s="25"/>
      <c r="C624" s="25"/>
      <c r="D624" s="25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</row>
    <row r="625" spans="1:19" s="23" customFormat="1" ht="12.75">
      <c r="A625" s="25"/>
      <c r="B625" s="25"/>
      <c r="C625" s="25"/>
      <c r="D625" s="25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</row>
    <row r="626" spans="1:19" s="23" customFormat="1" ht="12.75">
      <c r="A626" s="25"/>
      <c r="B626" s="25"/>
      <c r="C626" s="25"/>
      <c r="D626" s="25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</row>
    <row r="627" spans="1:19" s="23" customFormat="1" ht="12.75">
      <c r="A627" s="25"/>
      <c r="B627" s="25"/>
      <c r="C627" s="25"/>
      <c r="D627" s="25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</row>
    <row r="628" spans="1:19" s="23" customFormat="1" ht="12.75">
      <c r="A628" s="25"/>
      <c r="B628" s="25"/>
      <c r="C628" s="25"/>
      <c r="D628" s="25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</row>
    <row r="629" spans="1:19" s="23" customFormat="1" ht="12.75">
      <c r="A629" s="25"/>
      <c r="B629" s="25"/>
      <c r="C629" s="25"/>
      <c r="D629" s="25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</row>
    <row r="630" spans="1:19" s="23" customFormat="1" ht="12.75">
      <c r="A630" s="25"/>
      <c r="B630" s="25"/>
      <c r="C630" s="25"/>
      <c r="D630" s="25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</row>
    <row r="631" spans="1:19" s="23" customFormat="1" ht="12.75">
      <c r="A631" s="25"/>
      <c r="B631" s="25"/>
      <c r="C631" s="25"/>
      <c r="D631" s="25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</row>
    <row r="632" spans="1:19" s="23" customFormat="1" ht="12.75">
      <c r="A632" s="25"/>
      <c r="B632" s="25"/>
      <c r="C632" s="25"/>
      <c r="D632" s="25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</row>
    <row r="633" spans="1:19" s="23" customFormat="1" ht="12.75">
      <c r="A633" s="25"/>
      <c r="B633" s="25"/>
      <c r="C633" s="25"/>
      <c r="D633" s="25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</row>
    <row r="634" spans="1:19" s="23" customFormat="1" ht="12.75">
      <c r="A634" s="25"/>
      <c r="B634" s="25"/>
      <c r="C634" s="25"/>
      <c r="D634" s="25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</row>
    <row r="635" spans="1:19" s="23" customFormat="1" ht="12.75">
      <c r="A635" s="25"/>
      <c r="B635" s="25"/>
      <c r="C635" s="25"/>
      <c r="D635" s="25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</row>
    <row r="636" spans="1:19" s="23" customFormat="1" ht="12.75">
      <c r="A636" s="25"/>
      <c r="B636" s="25"/>
      <c r="C636" s="25"/>
      <c r="D636" s="25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</row>
    <row r="637" spans="1:19" s="23" customFormat="1" ht="12.75">
      <c r="A637" s="25"/>
      <c r="B637" s="25"/>
      <c r="C637" s="25"/>
      <c r="D637" s="25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</row>
    <row r="638" spans="1:19" s="23" customFormat="1" ht="12.75">
      <c r="A638" s="25"/>
      <c r="B638" s="25"/>
      <c r="C638" s="25"/>
      <c r="D638" s="25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</row>
    <row r="639" spans="1:19" s="23" customFormat="1" ht="12.75">
      <c r="A639" s="25"/>
      <c r="B639" s="25"/>
      <c r="C639" s="25"/>
      <c r="D639" s="25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</row>
    <row r="640" spans="1:19" s="23" customFormat="1" ht="12.75">
      <c r="A640" s="25"/>
      <c r="B640" s="25"/>
      <c r="C640" s="25"/>
      <c r="D640" s="25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</row>
    <row r="641" spans="1:19" s="23" customFormat="1" ht="12.75">
      <c r="A641" s="25"/>
      <c r="B641" s="25"/>
      <c r="C641" s="25"/>
      <c r="D641" s="25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</row>
    <row r="642" spans="1:19" s="23" customFormat="1" ht="12.75">
      <c r="A642" s="25"/>
      <c r="B642" s="25"/>
      <c r="C642" s="25"/>
      <c r="D642" s="25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</row>
    <row r="643" spans="1:19" s="23" customFormat="1" ht="12.75">
      <c r="A643" s="25"/>
      <c r="B643" s="25"/>
      <c r="C643" s="25"/>
      <c r="D643" s="25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</row>
    <row r="644" spans="1:19" s="23" customFormat="1" ht="12.75">
      <c r="A644" s="25"/>
      <c r="B644" s="25"/>
      <c r="C644" s="25"/>
      <c r="D644" s="25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</row>
    <row r="645" spans="1:19" s="23" customFormat="1" ht="12.75">
      <c r="A645" s="25"/>
      <c r="B645" s="25"/>
      <c r="C645" s="25"/>
      <c r="D645" s="25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</row>
    <row r="646" spans="1:19" s="23" customFormat="1" ht="12.75">
      <c r="A646" s="25"/>
      <c r="B646" s="25"/>
      <c r="C646" s="25"/>
      <c r="D646" s="25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</row>
    <row r="647" spans="1:19" s="23" customFormat="1" ht="12.75">
      <c r="A647" s="25"/>
      <c r="B647" s="25"/>
      <c r="C647" s="25"/>
      <c r="D647" s="25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</row>
    <row r="648" spans="1:19" s="23" customFormat="1" ht="12.75">
      <c r="A648" s="25"/>
      <c r="B648" s="25"/>
      <c r="C648" s="25"/>
      <c r="D648" s="25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</row>
    <row r="649" spans="1:19" s="23" customFormat="1" ht="12.75">
      <c r="A649" s="25"/>
      <c r="B649" s="25"/>
      <c r="C649" s="25"/>
      <c r="D649" s="25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</row>
    <row r="650" spans="1:19" s="23" customFormat="1" ht="12.75">
      <c r="A650" s="25"/>
      <c r="B650" s="25"/>
      <c r="C650" s="25"/>
      <c r="D650" s="25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</row>
    <row r="651" spans="1:19" s="23" customFormat="1" ht="12.75">
      <c r="A651" s="25"/>
      <c r="B651" s="25"/>
      <c r="C651" s="25"/>
      <c r="D651" s="25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</row>
    <row r="652" spans="1:19" s="23" customFormat="1" ht="12.75">
      <c r="A652" s="25"/>
      <c r="B652" s="25"/>
      <c r="C652" s="25"/>
      <c r="D652" s="25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</row>
    <row r="653" spans="1:19" s="23" customFormat="1" ht="12.75">
      <c r="A653" s="25"/>
      <c r="B653" s="25"/>
      <c r="C653" s="25"/>
      <c r="D653" s="25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</row>
    <row r="654" spans="1:19" s="23" customFormat="1" ht="12.75">
      <c r="A654" s="25"/>
      <c r="B654" s="25"/>
      <c r="C654" s="25"/>
      <c r="D654" s="25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</row>
    <row r="655" spans="1:19" s="23" customFormat="1" ht="12.75">
      <c r="A655" s="25"/>
      <c r="B655" s="25"/>
      <c r="C655" s="25"/>
      <c r="D655" s="25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</row>
    <row r="656" spans="1:19" s="23" customFormat="1" ht="12.75">
      <c r="A656" s="25"/>
      <c r="B656" s="25"/>
      <c r="C656" s="25"/>
      <c r="D656" s="25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</row>
    <row r="657" spans="1:19" s="23" customFormat="1" ht="12.75">
      <c r="A657" s="25"/>
      <c r="B657" s="25"/>
      <c r="C657" s="25"/>
      <c r="D657" s="25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</row>
    <row r="658" spans="1:19" s="23" customFormat="1" ht="12.75">
      <c r="A658" s="25"/>
      <c r="B658" s="25"/>
      <c r="C658" s="25"/>
      <c r="D658" s="25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</row>
    <row r="659" spans="1:19" s="23" customFormat="1" ht="12.75">
      <c r="A659" s="25"/>
      <c r="B659" s="25"/>
      <c r="C659" s="25"/>
      <c r="D659" s="25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</row>
    <row r="660" spans="1:19" s="23" customFormat="1" ht="12.75">
      <c r="A660" s="25"/>
      <c r="B660" s="25"/>
      <c r="C660" s="25"/>
      <c r="D660" s="25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</row>
    <row r="661" spans="1:19" s="23" customFormat="1" ht="12.75">
      <c r="A661" s="25"/>
      <c r="B661" s="25"/>
      <c r="C661" s="25"/>
      <c r="D661" s="25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</row>
    <row r="662" spans="1:19" s="23" customFormat="1" ht="12.75">
      <c r="A662" s="25"/>
      <c r="B662" s="25"/>
      <c r="C662" s="25"/>
      <c r="D662" s="25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</row>
    <row r="663" spans="1:19" s="23" customFormat="1" ht="12.75">
      <c r="A663" s="25"/>
      <c r="B663" s="25"/>
      <c r="C663" s="25"/>
      <c r="D663" s="25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</row>
    <row r="664" spans="1:19" s="23" customFormat="1" ht="12.75">
      <c r="A664" s="25"/>
      <c r="B664" s="25"/>
      <c r="C664" s="25"/>
      <c r="D664" s="25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</row>
    <row r="665" spans="1:19" s="23" customFormat="1" ht="12.75">
      <c r="A665" s="25"/>
      <c r="B665" s="25"/>
      <c r="C665" s="25"/>
      <c r="D665" s="25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</row>
    <row r="666" spans="1:19" s="23" customFormat="1" ht="12.75">
      <c r="A666" s="25"/>
      <c r="B666" s="25"/>
      <c r="C666" s="25"/>
      <c r="D666" s="25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</row>
    <row r="667" spans="1:19" s="23" customFormat="1" ht="12.75">
      <c r="A667" s="25"/>
      <c r="B667" s="25"/>
      <c r="C667" s="25"/>
      <c r="D667" s="25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</row>
    <row r="668" spans="1:19" s="23" customFormat="1" ht="12.75">
      <c r="A668" s="25"/>
      <c r="B668" s="25"/>
      <c r="C668" s="25"/>
      <c r="D668" s="25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</row>
    <row r="669" spans="1:19" s="23" customFormat="1" ht="12.75">
      <c r="A669" s="25"/>
      <c r="B669" s="25"/>
      <c r="C669" s="25"/>
      <c r="D669" s="25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</row>
    <row r="670" spans="1:19" s="23" customFormat="1" ht="12.75">
      <c r="A670" s="25"/>
      <c r="B670" s="25"/>
      <c r="C670" s="25"/>
      <c r="D670" s="25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</row>
    <row r="671" spans="1:19" s="23" customFormat="1" ht="12.75">
      <c r="A671" s="25"/>
      <c r="B671" s="25"/>
      <c r="C671" s="25"/>
      <c r="D671" s="25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</row>
    <row r="672" spans="1:19" s="23" customFormat="1" ht="12.75">
      <c r="A672" s="25"/>
      <c r="B672" s="25"/>
      <c r="C672" s="25"/>
      <c r="D672" s="25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</row>
    <row r="673" spans="1:19" s="23" customFormat="1" ht="12.75">
      <c r="A673" s="25"/>
      <c r="B673" s="25"/>
      <c r="C673" s="25"/>
      <c r="D673" s="25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</row>
    <row r="674" spans="1:19" s="23" customFormat="1" ht="12.75">
      <c r="A674" s="25"/>
      <c r="B674" s="25"/>
      <c r="C674" s="25"/>
      <c r="D674" s="25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</row>
    <row r="675" spans="1:19" s="23" customFormat="1" ht="12.75">
      <c r="A675" s="25"/>
      <c r="B675" s="25"/>
      <c r="C675" s="25"/>
      <c r="D675" s="25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</row>
    <row r="676" spans="1:19" s="23" customFormat="1" ht="12.75">
      <c r="A676" s="25"/>
      <c r="B676" s="25"/>
      <c r="C676" s="25"/>
      <c r="D676" s="25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</row>
    <row r="677" spans="1:19" s="23" customFormat="1" ht="12.75">
      <c r="A677" s="25"/>
      <c r="B677" s="25"/>
      <c r="C677" s="25"/>
      <c r="D677" s="25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</row>
    <row r="678" spans="1:19" s="23" customFormat="1" ht="12.75">
      <c r="A678" s="25"/>
      <c r="B678" s="25"/>
      <c r="C678" s="25"/>
      <c r="D678" s="25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</row>
    <row r="679" spans="1:19" s="23" customFormat="1" ht="12.75">
      <c r="A679" s="25"/>
      <c r="B679" s="25"/>
      <c r="C679" s="25"/>
      <c r="D679" s="25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</row>
    <row r="680" spans="1:19" s="23" customFormat="1" ht="12.75">
      <c r="A680" s="25"/>
      <c r="B680" s="25"/>
      <c r="C680" s="25"/>
      <c r="D680" s="25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</row>
    <row r="681" spans="1:19" s="23" customFormat="1" ht="12.75">
      <c r="A681" s="25"/>
      <c r="B681" s="25"/>
      <c r="C681" s="25"/>
      <c r="D681" s="25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</row>
    <row r="682" spans="1:19" s="23" customFormat="1" ht="12.75">
      <c r="A682" s="25"/>
      <c r="B682" s="25"/>
      <c r="C682" s="25"/>
      <c r="D682" s="25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</row>
    <row r="683" spans="1:19" s="23" customFormat="1" ht="12.75">
      <c r="A683" s="25"/>
      <c r="B683" s="25"/>
      <c r="C683" s="25"/>
      <c r="D683" s="25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</row>
    <row r="684" spans="1:19" s="23" customFormat="1" ht="12.75">
      <c r="A684" s="25"/>
      <c r="B684" s="25"/>
      <c r="C684" s="25"/>
      <c r="D684" s="25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</row>
    <row r="685" spans="1:19" s="23" customFormat="1" ht="12.75">
      <c r="A685" s="25"/>
      <c r="B685" s="25"/>
      <c r="C685" s="25"/>
      <c r="D685" s="25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</row>
    <row r="686" spans="1:19" s="23" customFormat="1" ht="12.75">
      <c r="A686" s="25"/>
      <c r="B686" s="25"/>
      <c r="C686" s="25"/>
      <c r="D686" s="25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</row>
    <row r="687" spans="1:19" s="23" customFormat="1" ht="12.75">
      <c r="A687" s="25"/>
      <c r="B687" s="25"/>
      <c r="C687" s="25"/>
      <c r="D687" s="25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</row>
    <row r="688" spans="1:19" s="23" customFormat="1" ht="12.75">
      <c r="A688" s="25"/>
      <c r="B688" s="25"/>
      <c r="C688" s="25"/>
      <c r="D688" s="25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</row>
    <row r="689" spans="1:19" s="23" customFormat="1" ht="12.75">
      <c r="A689" s="25"/>
      <c r="B689" s="25"/>
      <c r="C689" s="25"/>
      <c r="D689" s="25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</row>
    <row r="690" spans="1:19" s="23" customFormat="1" ht="12.75">
      <c r="A690" s="25"/>
      <c r="B690" s="25"/>
      <c r="C690" s="25"/>
      <c r="D690" s="25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</row>
    <row r="691" spans="1:19" s="23" customFormat="1" ht="12.75">
      <c r="A691" s="25"/>
      <c r="B691" s="25"/>
      <c r="C691" s="25"/>
      <c r="D691" s="25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</row>
    <row r="692" spans="1:19" s="23" customFormat="1" ht="12.75">
      <c r="A692" s="25"/>
      <c r="B692" s="25"/>
      <c r="C692" s="25"/>
      <c r="D692" s="25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</row>
    <row r="693" spans="1:19" s="23" customFormat="1" ht="12.75">
      <c r="A693" s="25"/>
      <c r="B693" s="25"/>
      <c r="C693" s="25"/>
      <c r="D693" s="25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</row>
    <row r="694" spans="1:19" s="23" customFormat="1" ht="12.75">
      <c r="A694" s="25"/>
      <c r="B694" s="25"/>
      <c r="C694" s="25"/>
      <c r="D694" s="25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</row>
    <row r="695" spans="1:19" s="23" customFormat="1" ht="12.75">
      <c r="A695" s="25"/>
      <c r="B695" s="25"/>
      <c r="C695" s="25"/>
      <c r="D695" s="25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</row>
    <row r="696" spans="1:19" s="23" customFormat="1" ht="12.75">
      <c r="A696" s="25"/>
      <c r="B696" s="25"/>
      <c r="C696" s="25"/>
      <c r="D696" s="25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</row>
    <row r="697" spans="1:19" s="23" customFormat="1" ht="12.75">
      <c r="A697" s="25"/>
      <c r="B697" s="25"/>
      <c r="C697" s="25"/>
      <c r="D697" s="25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</row>
    <row r="698" spans="1:19" s="23" customFormat="1" ht="12.75">
      <c r="A698" s="25"/>
      <c r="B698" s="25"/>
      <c r="C698" s="25"/>
      <c r="D698" s="25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</row>
    <row r="699" spans="1:19" s="23" customFormat="1" ht="12.75">
      <c r="A699" s="25"/>
      <c r="B699" s="25"/>
      <c r="C699" s="25"/>
      <c r="D699" s="25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</row>
    <row r="700" spans="1:19" s="23" customFormat="1" ht="12.75">
      <c r="A700" s="25"/>
      <c r="B700" s="25"/>
      <c r="C700" s="25"/>
      <c r="D700" s="25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</row>
    <row r="701" spans="1:19" s="23" customFormat="1" ht="12.75">
      <c r="A701" s="25"/>
      <c r="B701" s="25"/>
      <c r="C701" s="25"/>
      <c r="D701" s="25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</row>
    <row r="702" spans="1:19" s="23" customFormat="1" ht="12.75">
      <c r="A702" s="25"/>
      <c r="B702" s="25"/>
      <c r="C702" s="25"/>
      <c r="D702" s="25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</row>
    <row r="703" spans="1:19" s="23" customFormat="1" ht="12.75">
      <c r="A703" s="25"/>
      <c r="B703" s="25"/>
      <c r="C703" s="25"/>
      <c r="D703" s="25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</row>
    <row r="704" spans="1:19" s="23" customFormat="1" ht="12.75">
      <c r="A704" s="25"/>
      <c r="B704" s="25"/>
      <c r="C704" s="25"/>
      <c r="D704" s="25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</row>
    <row r="705" spans="1:19" s="23" customFormat="1" ht="12.75">
      <c r="A705" s="25"/>
      <c r="B705" s="25"/>
      <c r="C705" s="25"/>
      <c r="D705" s="25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</row>
    <row r="706" spans="1:19" s="23" customFormat="1" ht="12.75">
      <c r="A706" s="25"/>
      <c r="B706" s="25"/>
      <c r="C706" s="25"/>
      <c r="D706" s="25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</row>
    <row r="707" spans="1:19" s="23" customFormat="1" ht="12.75">
      <c r="A707" s="25"/>
      <c r="B707" s="25"/>
      <c r="C707" s="25"/>
      <c r="D707" s="25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</row>
    <row r="708" spans="1:19" s="23" customFormat="1" ht="12.75">
      <c r="A708" s="25"/>
      <c r="B708" s="25"/>
      <c r="C708" s="25"/>
      <c r="D708" s="25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</row>
    <row r="709" spans="1:19" s="23" customFormat="1" ht="12.75">
      <c r="A709" s="25"/>
      <c r="B709" s="25"/>
      <c r="C709" s="25"/>
      <c r="D709" s="25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</row>
    <row r="710" spans="1:19" s="23" customFormat="1" ht="12.75">
      <c r="A710" s="25"/>
      <c r="B710" s="25"/>
      <c r="C710" s="25"/>
      <c r="D710" s="25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</row>
    <row r="711" spans="1:19" s="23" customFormat="1" ht="12.75">
      <c r="A711" s="25"/>
      <c r="B711" s="25"/>
      <c r="C711" s="25"/>
      <c r="D711" s="25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</row>
    <row r="712" spans="1:19" s="23" customFormat="1" ht="12.75">
      <c r="A712" s="25"/>
      <c r="B712" s="25"/>
      <c r="C712" s="25"/>
      <c r="D712" s="25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</row>
    <row r="713" spans="1:19" s="23" customFormat="1" ht="12.75">
      <c r="A713" s="25"/>
      <c r="B713" s="25"/>
      <c r="C713" s="25"/>
      <c r="D713" s="25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</row>
    <row r="714" spans="1:19" s="23" customFormat="1" ht="12.75">
      <c r="A714" s="25"/>
      <c r="B714" s="25"/>
      <c r="C714" s="25"/>
      <c r="D714" s="25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</row>
    <row r="715" spans="1:19" s="23" customFormat="1" ht="12.75">
      <c r="A715" s="25"/>
      <c r="B715" s="25"/>
      <c r="C715" s="25"/>
      <c r="D715" s="25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</row>
    <row r="716" spans="1:19" s="23" customFormat="1" ht="12.75">
      <c r="A716" s="25"/>
      <c r="B716" s="25"/>
      <c r="C716" s="25"/>
      <c r="D716" s="25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</row>
    <row r="717" spans="1:19" s="23" customFormat="1" ht="12.75">
      <c r="A717" s="25"/>
      <c r="B717" s="25"/>
      <c r="C717" s="25"/>
      <c r="D717" s="25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</row>
    <row r="718" spans="1:19" s="23" customFormat="1" ht="12.75">
      <c r="A718" s="25"/>
      <c r="B718" s="25"/>
      <c r="C718" s="25"/>
      <c r="D718" s="25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</row>
    <row r="719" spans="1:19" s="23" customFormat="1" ht="12.75">
      <c r="A719" s="25"/>
      <c r="B719" s="25"/>
      <c r="C719" s="25"/>
      <c r="D719" s="25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</row>
    <row r="720" spans="1:19" s="23" customFormat="1" ht="12.75">
      <c r="A720" s="25"/>
      <c r="B720" s="25"/>
      <c r="C720" s="25"/>
      <c r="D720" s="25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</row>
    <row r="721" spans="1:19" s="23" customFormat="1" ht="12.75">
      <c r="A721" s="25"/>
      <c r="B721" s="25"/>
      <c r="C721" s="25"/>
      <c r="D721" s="25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</row>
    <row r="722" spans="1:19" s="23" customFormat="1" ht="12.75">
      <c r="A722" s="25"/>
      <c r="B722" s="25"/>
      <c r="C722" s="25"/>
      <c r="D722" s="25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</row>
    <row r="723" spans="1:19" s="23" customFormat="1" ht="12.75">
      <c r="A723" s="25"/>
      <c r="B723" s="25"/>
      <c r="C723" s="25"/>
      <c r="D723" s="25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</row>
    <row r="724" spans="1:19" s="23" customFormat="1" ht="12.75">
      <c r="A724" s="25"/>
      <c r="B724" s="25"/>
      <c r="C724" s="25"/>
      <c r="D724" s="25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</row>
    <row r="725" spans="1:19" s="23" customFormat="1" ht="12.75">
      <c r="A725" s="25"/>
      <c r="B725" s="25"/>
      <c r="C725" s="25"/>
      <c r="D725" s="25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</row>
    <row r="726" spans="1:19" s="23" customFormat="1" ht="12.75">
      <c r="A726" s="25"/>
      <c r="B726" s="25"/>
      <c r="C726" s="25"/>
      <c r="D726" s="25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</row>
    <row r="727" spans="1:19" s="23" customFormat="1" ht="12.75">
      <c r="A727" s="25"/>
      <c r="B727" s="25"/>
      <c r="C727" s="25"/>
      <c r="D727" s="25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</row>
    <row r="728" spans="1:19" s="23" customFormat="1" ht="12.75">
      <c r="A728" s="25"/>
      <c r="B728" s="25"/>
      <c r="C728" s="25"/>
      <c r="D728" s="25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</row>
    <row r="729" spans="1:19" s="23" customFormat="1" ht="12.75">
      <c r="A729" s="25"/>
      <c r="B729" s="25"/>
      <c r="C729" s="25"/>
      <c r="D729" s="25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</row>
    <row r="730" spans="1:19" s="23" customFormat="1" ht="12.75">
      <c r="A730" s="25"/>
      <c r="B730" s="25"/>
      <c r="C730" s="25"/>
      <c r="D730" s="25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</row>
    <row r="731" spans="1:19" s="23" customFormat="1" ht="12.75">
      <c r="A731" s="25"/>
      <c r="B731" s="25"/>
      <c r="C731" s="25"/>
      <c r="D731" s="25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</row>
    <row r="732" spans="1:19" s="23" customFormat="1" ht="12.75">
      <c r="A732" s="25"/>
      <c r="B732" s="25"/>
      <c r="C732" s="25"/>
      <c r="D732" s="25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</row>
    <row r="733" spans="1:19" s="23" customFormat="1" ht="12.75">
      <c r="A733" s="25"/>
      <c r="B733" s="25"/>
      <c r="C733" s="25"/>
      <c r="D733" s="25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</row>
    <row r="734" spans="1:19" s="23" customFormat="1" ht="12.75">
      <c r="A734" s="25"/>
      <c r="B734" s="25"/>
      <c r="C734" s="25"/>
      <c r="D734" s="25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</row>
    <row r="735" spans="1:19" s="23" customFormat="1" ht="12.75">
      <c r="A735" s="25"/>
      <c r="B735" s="25"/>
      <c r="C735" s="25"/>
      <c r="D735" s="25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</row>
    <row r="736" spans="1:19" s="23" customFormat="1" ht="12.75">
      <c r="A736" s="25"/>
      <c r="B736" s="25"/>
      <c r="C736" s="25"/>
      <c r="D736" s="25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</row>
    <row r="737" spans="1:19" s="23" customFormat="1" ht="12.75">
      <c r="A737" s="25"/>
      <c r="B737" s="25"/>
      <c r="C737" s="25"/>
      <c r="D737" s="25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</row>
    <row r="738" spans="1:19" s="23" customFormat="1" ht="12.75">
      <c r="A738" s="25"/>
      <c r="B738" s="25"/>
      <c r="C738" s="25"/>
      <c r="D738" s="25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</row>
    <row r="739" spans="1:19" s="23" customFormat="1" ht="12.75">
      <c r="A739" s="25"/>
      <c r="B739" s="25"/>
      <c r="C739" s="25"/>
      <c r="D739" s="25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</row>
    <row r="740" spans="1:19" s="23" customFormat="1" ht="12.75">
      <c r="A740" s="25"/>
      <c r="B740" s="25"/>
      <c r="C740" s="25"/>
      <c r="D740" s="25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</row>
    <row r="741" spans="1:19" s="23" customFormat="1" ht="12.75">
      <c r="A741" s="25"/>
      <c r="B741" s="25"/>
      <c r="C741" s="25"/>
      <c r="D741" s="25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</row>
    <row r="742" spans="1:19" s="23" customFormat="1" ht="12.75">
      <c r="A742" s="25"/>
      <c r="B742" s="25"/>
      <c r="C742" s="25"/>
      <c r="D742" s="25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</row>
  </sheetData>
  <sheetProtection/>
  <mergeCells count="1">
    <mergeCell ref="A5:Q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P89" sqref="P89:P91"/>
    </sheetView>
  </sheetViews>
  <sheetFormatPr defaultColWidth="9.00390625" defaultRowHeight="12.75"/>
  <cols>
    <col min="1" max="1" width="5.125" style="9" customWidth="1"/>
    <col min="2" max="2" width="7.25390625" style="9" bestFit="1" customWidth="1"/>
    <col min="3" max="3" width="4.375" style="9" bestFit="1" customWidth="1"/>
    <col min="4" max="4" width="37.125" style="9" customWidth="1"/>
    <col min="5" max="5" width="33.875" style="9" hidden="1" customWidth="1"/>
    <col min="6" max="6" width="18.00390625" style="9" hidden="1" customWidth="1"/>
    <col min="7" max="7" width="42.125" style="9" hidden="1" customWidth="1"/>
    <col min="8" max="8" width="9.25390625" style="9" hidden="1" customWidth="1"/>
    <col min="9" max="9" width="0.12890625" style="9" hidden="1" customWidth="1"/>
    <col min="10" max="10" width="7.625" style="9" hidden="1" customWidth="1"/>
    <col min="11" max="11" width="11.00390625" style="9" hidden="1" customWidth="1"/>
    <col min="12" max="12" width="0.12890625" style="9" hidden="1" customWidth="1"/>
    <col min="13" max="13" width="12.75390625" style="9" hidden="1" customWidth="1"/>
    <col min="14" max="14" width="14.25390625" style="9" hidden="1" customWidth="1"/>
    <col min="15" max="15" width="12.375" style="9" customWidth="1"/>
    <col min="16" max="16" width="14.25390625" style="9" customWidth="1"/>
    <col min="17" max="17" width="12.375" style="9" customWidth="1"/>
  </cols>
  <sheetData>
    <row r="1" spans="1:17" ht="12.75">
      <c r="A1" s="55"/>
      <c r="B1" s="55"/>
      <c r="C1" s="55"/>
      <c r="D1" s="234"/>
      <c r="E1" s="56" t="s">
        <v>188</v>
      </c>
      <c r="F1" s="56" t="s">
        <v>188</v>
      </c>
      <c r="G1" s="26" t="s">
        <v>398</v>
      </c>
      <c r="H1" s="56"/>
      <c r="I1" s="26"/>
      <c r="J1" s="56"/>
      <c r="K1" s="234" t="s">
        <v>429</v>
      </c>
      <c r="L1" s="234" t="s">
        <v>429</v>
      </c>
      <c r="M1" s="235" t="s">
        <v>455</v>
      </c>
      <c r="N1" s="244"/>
      <c r="O1" s="235" t="s">
        <v>476</v>
      </c>
      <c r="P1" s="244"/>
      <c r="Q1" s="26"/>
    </row>
    <row r="2" spans="1:17" ht="12.75">
      <c r="A2" s="55"/>
      <c r="B2" s="55"/>
      <c r="C2" s="55"/>
      <c r="D2" s="234"/>
      <c r="E2" s="56" t="s">
        <v>217</v>
      </c>
      <c r="F2" s="56" t="s">
        <v>356</v>
      </c>
      <c r="G2" s="26" t="s">
        <v>399</v>
      </c>
      <c r="H2" s="56"/>
      <c r="I2" s="26"/>
      <c r="J2" s="56"/>
      <c r="K2" s="234" t="s">
        <v>430</v>
      </c>
      <c r="L2" s="234" t="s">
        <v>430</v>
      </c>
      <c r="M2" s="235" t="s">
        <v>456</v>
      </c>
      <c r="N2" s="244"/>
      <c r="O2" s="235" t="s">
        <v>466</v>
      </c>
      <c r="P2" s="244"/>
      <c r="Q2" s="26"/>
    </row>
    <row r="3" spans="1:17" ht="12.75">
      <c r="A3" s="55"/>
      <c r="B3" s="55"/>
      <c r="C3" s="55"/>
      <c r="D3" s="234"/>
      <c r="E3" s="56" t="s">
        <v>144</v>
      </c>
      <c r="F3" s="56" t="s">
        <v>144</v>
      </c>
      <c r="G3" s="26" t="s">
        <v>397</v>
      </c>
      <c r="H3" s="56"/>
      <c r="I3" s="26"/>
      <c r="J3" s="56"/>
      <c r="K3" s="234" t="s">
        <v>423</v>
      </c>
      <c r="L3" s="234" t="s">
        <v>423</v>
      </c>
      <c r="M3" s="235" t="s">
        <v>429</v>
      </c>
      <c r="N3" s="244"/>
      <c r="O3" s="235" t="s">
        <v>455</v>
      </c>
      <c r="P3" s="244"/>
      <c r="Q3" s="26"/>
    </row>
    <row r="4" spans="1:17" ht="12.75">
      <c r="A4" s="55"/>
      <c r="B4" s="55"/>
      <c r="C4" s="55"/>
      <c r="D4" s="234"/>
      <c r="E4" s="56" t="s">
        <v>218</v>
      </c>
      <c r="F4" s="56" t="s">
        <v>357</v>
      </c>
      <c r="G4" s="26" t="s">
        <v>396</v>
      </c>
      <c r="H4" s="56"/>
      <c r="I4" s="26"/>
      <c r="J4" s="56"/>
      <c r="K4" s="234" t="s">
        <v>425</v>
      </c>
      <c r="L4" s="234" t="s">
        <v>425</v>
      </c>
      <c r="M4" s="235" t="s">
        <v>446</v>
      </c>
      <c r="N4" s="244"/>
      <c r="O4" s="235" t="s">
        <v>461</v>
      </c>
      <c r="P4" s="244"/>
      <c r="Q4" s="26"/>
    </row>
    <row r="5" spans="1:17" ht="33.75" customHeight="1">
      <c r="A5" s="257" t="s">
        <v>313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/>
      <c r="Q5"/>
    </row>
    <row r="6" spans="1:17" ht="18" customHeight="1">
      <c r="A6" s="256" t="s">
        <v>322</v>
      </c>
      <c r="B6" s="256"/>
      <c r="C6" s="256"/>
      <c r="D6" s="256"/>
      <c r="E6" s="256"/>
      <c r="F6"/>
      <c r="G6"/>
      <c r="H6"/>
      <c r="I6"/>
      <c r="J6"/>
      <c r="K6"/>
      <c r="L6"/>
      <c r="M6"/>
      <c r="N6"/>
      <c r="O6"/>
      <c r="P6"/>
      <c r="Q6"/>
    </row>
    <row r="7" spans="1:17" ht="33.75" customHeight="1">
      <c r="A7" s="60" t="s">
        <v>0</v>
      </c>
      <c r="B7" s="60" t="s">
        <v>1</v>
      </c>
      <c r="C7" s="93" t="s">
        <v>2</v>
      </c>
      <c r="D7" s="60" t="s">
        <v>3</v>
      </c>
      <c r="E7" s="102" t="s">
        <v>281</v>
      </c>
      <c r="F7" s="102" t="s">
        <v>336</v>
      </c>
      <c r="G7" s="102" t="s">
        <v>139</v>
      </c>
      <c r="H7" s="102" t="s">
        <v>336</v>
      </c>
      <c r="I7" s="102" t="s">
        <v>139</v>
      </c>
      <c r="J7" s="102" t="s">
        <v>337</v>
      </c>
      <c r="K7" s="102" t="s">
        <v>139</v>
      </c>
      <c r="L7" s="102" t="s">
        <v>337</v>
      </c>
      <c r="M7" s="249" t="s">
        <v>139</v>
      </c>
      <c r="N7" s="102" t="s">
        <v>337</v>
      </c>
      <c r="O7" s="102" t="s">
        <v>139</v>
      </c>
      <c r="P7" s="102" t="s">
        <v>337</v>
      </c>
      <c r="Q7" s="102" t="s">
        <v>395</v>
      </c>
    </row>
    <row r="8" spans="1:17" ht="24" customHeight="1">
      <c r="A8" s="97" t="s">
        <v>4</v>
      </c>
      <c r="B8" s="6"/>
      <c r="C8" s="22"/>
      <c r="D8" s="129" t="s">
        <v>5</v>
      </c>
      <c r="E8" s="102"/>
      <c r="F8" s="102"/>
      <c r="G8" s="102"/>
      <c r="H8" s="102"/>
      <c r="I8" s="236">
        <f aca="true" t="shared" si="0" ref="I8:K9">SUM(I9)</f>
        <v>0</v>
      </c>
      <c r="J8" s="236">
        <f t="shared" si="0"/>
        <v>0</v>
      </c>
      <c r="K8" s="236">
        <f t="shared" si="0"/>
        <v>0</v>
      </c>
      <c r="L8" s="236">
        <f aca="true" t="shared" si="1" ref="L8:Q9">SUM(L9)</f>
        <v>261638</v>
      </c>
      <c r="M8" s="236">
        <f t="shared" si="1"/>
        <v>261638</v>
      </c>
      <c r="N8" s="236">
        <f t="shared" si="1"/>
        <v>0</v>
      </c>
      <c r="O8" s="236">
        <f t="shared" si="1"/>
        <v>261638</v>
      </c>
      <c r="P8" s="236">
        <f t="shared" si="1"/>
        <v>0</v>
      </c>
      <c r="Q8" s="236">
        <f t="shared" si="1"/>
        <v>261638</v>
      </c>
    </row>
    <row r="9" spans="1:17" s="26" customFormat="1" ht="21.75" customHeight="1">
      <c r="A9" s="237"/>
      <c r="B9" s="74" t="s">
        <v>234</v>
      </c>
      <c r="C9" s="78"/>
      <c r="D9" s="130" t="s">
        <v>6</v>
      </c>
      <c r="E9" s="238"/>
      <c r="F9" s="238"/>
      <c r="G9" s="238"/>
      <c r="H9" s="238"/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1"/>
        <v>261638</v>
      </c>
      <c r="M9" s="89">
        <f t="shared" si="1"/>
        <v>261638</v>
      </c>
      <c r="N9" s="89">
        <f t="shared" si="1"/>
        <v>0</v>
      </c>
      <c r="O9" s="89">
        <f t="shared" si="1"/>
        <v>261638</v>
      </c>
      <c r="P9" s="89">
        <f t="shared" si="1"/>
        <v>0</v>
      </c>
      <c r="Q9" s="89">
        <f t="shared" si="1"/>
        <v>261638</v>
      </c>
    </row>
    <row r="10" spans="1:17" s="26" customFormat="1" ht="45">
      <c r="A10" s="237"/>
      <c r="B10" s="237"/>
      <c r="C10" s="77">
        <v>2010</v>
      </c>
      <c r="D10" s="41" t="s">
        <v>208</v>
      </c>
      <c r="E10" s="238"/>
      <c r="F10" s="238"/>
      <c r="G10" s="238"/>
      <c r="H10" s="238"/>
      <c r="I10" s="89">
        <v>0</v>
      </c>
      <c r="J10" s="89"/>
      <c r="K10" s="89">
        <f>SUM(I10:J10)</f>
        <v>0</v>
      </c>
      <c r="L10" s="89">
        <v>261638</v>
      </c>
      <c r="M10" s="89">
        <f>SUM(K10:L10)</f>
        <v>261638</v>
      </c>
      <c r="N10" s="89"/>
      <c r="O10" s="89">
        <f>SUM(M10:N10)</f>
        <v>261638</v>
      </c>
      <c r="P10" s="89"/>
      <c r="Q10" s="89">
        <f>SUM(O10:P10)</f>
        <v>261638</v>
      </c>
    </row>
    <row r="11" spans="1:17" ht="19.5" customHeight="1">
      <c r="A11" s="36" t="s">
        <v>15</v>
      </c>
      <c r="B11" s="29"/>
      <c r="C11" s="54"/>
      <c r="D11" s="39" t="s">
        <v>16</v>
      </c>
      <c r="E11" s="62">
        <f aca="true" t="shared" si="2" ref="E11:Q12">SUM(E12)</f>
        <v>156600</v>
      </c>
      <c r="F11" s="62">
        <f t="shared" si="2"/>
        <v>0</v>
      </c>
      <c r="G11" s="62">
        <f aca="true" t="shared" si="3" ref="G11:M11">SUM(G12,G14)</f>
        <v>156600</v>
      </c>
      <c r="H11" s="62">
        <f t="shared" si="3"/>
        <v>29071</v>
      </c>
      <c r="I11" s="62">
        <f t="shared" si="3"/>
        <v>185671</v>
      </c>
      <c r="J11" s="62">
        <f t="shared" si="3"/>
        <v>0</v>
      </c>
      <c r="K11" s="62">
        <f t="shared" si="3"/>
        <v>185671</v>
      </c>
      <c r="L11" s="62">
        <f t="shared" si="3"/>
        <v>0</v>
      </c>
      <c r="M11" s="62">
        <f t="shared" si="3"/>
        <v>185671</v>
      </c>
      <c r="N11" s="62">
        <f>SUM(N12,N14)</f>
        <v>0</v>
      </c>
      <c r="O11" s="62">
        <f>SUM(O12,O14)</f>
        <v>185671</v>
      </c>
      <c r="P11" s="62">
        <f>SUM(P12,P14)</f>
        <v>18318</v>
      </c>
      <c r="Q11" s="62">
        <f>SUM(Q12,Q14)</f>
        <v>203989</v>
      </c>
    </row>
    <row r="12" spans="1:17" ht="19.5" customHeight="1">
      <c r="A12" s="66"/>
      <c r="B12" s="66">
        <v>75011</v>
      </c>
      <c r="C12" s="67"/>
      <c r="D12" s="41" t="s">
        <v>17</v>
      </c>
      <c r="E12" s="91">
        <f t="shared" si="2"/>
        <v>156600</v>
      </c>
      <c r="F12" s="91">
        <f t="shared" si="2"/>
        <v>0</v>
      </c>
      <c r="G12" s="91">
        <f t="shared" si="2"/>
        <v>156600</v>
      </c>
      <c r="H12" s="91">
        <f t="shared" si="2"/>
        <v>0</v>
      </c>
      <c r="I12" s="91">
        <f t="shared" si="2"/>
        <v>156600</v>
      </c>
      <c r="J12" s="91">
        <f t="shared" si="2"/>
        <v>0</v>
      </c>
      <c r="K12" s="91">
        <f t="shared" si="2"/>
        <v>156600</v>
      </c>
      <c r="L12" s="91">
        <f t="shared" si="2"/>
        <v>0</v>
      </c>
      <c r="M12" s="91">
        <f t="shared" si="2"/>
        <v>156600</v>
      </c>
      <c r="N12" s="91">
        <f t="shared" si="2"/>
        <v>0</v>
      </c>
      <c r="O12" s="91">
        <f t="shared" si="2"/>
        <v>156600</v>
      </c>
      <c r="P12" s="91">
        <f t="shared" si="2"/>
        <v>0</v>
      </c>
      <c r="Q12" s="91">
        <f t="shared" si="2"/>
        <v>156600</v>
      </c>
    </row>
    <row r="13" spans="1:17" ht="49.5" customHeight="1">
      <c r="A13" s="66"/>
      <c r="B13" s="84"/>
      <c r="C13" s="68" t="s">
        <v>177</v>
      </c>
      <c r="D13" s="41" t="s">
        <v>208</v>
      </c>
      <c r="E13" s="91">
        <v>156600</v>
      </c>
      <c r="F13" s="91"/>
      <c r="G13" s="91">
        <f>SUM(E13:F13)</f>
        <v>156600</v>
      </c>
      <c r="H13" s="91">
        <v>0</v>
      </c>
      <c r="I13" s="91">
        <f>SUM(G13:H13)</f>
        <v>156600</v>
      </c>
      <c r="J13" s="91">
        <v>0</v>
      </c>
      <c r="K13" s="91">
        <f>SUM(I13:J13)</f>
        <v>156600</v>
      </c>
      <c r="L13" s="91">
        <v>0</v>
      </c>
      <c r="M13" s="91">
        <f>SUM(K13:L13)</f>
        <v>156600</v>
      </c>
      <c r="N13" s="91">
        <v>0</v>
      </c>
      <c r="O13" s="91">
        <f>SUM(M13:N13)</f>
        <v>156600</v>
      </c>
      <c r="P13" s="91">
        <v>0</v>
      </c>
      <c r="Q13" s="91">
        <f>SUM(O13:P13)</f>
        <v>156600</v>
      </c>
    </row>
    <row r="14" spans="1:17" ht="21" customHeight="1">
      <c r="A14" s="66"/>
      <c r="B14" s="84">
        <v>75056</v>
      </c>
      <c r="C14" s="68"/>
      <c r="D14" s="41" t="s">
        <v>389</v>
      </c>
      <c r="E14" s="91"/>
      <c r="F14" s="91"/>
      <c r="G14" s="91">
        <f aca="true" t="shared" si="4" ref="G14:Q14">SUM(G15)</f>
        <v>0</v>
      </c>
      <c r="H14" s="91">
        <f t="shared" si="4"/>
        <v>29071</v>
      </c>
      <c r="I14" s="91">
        <f t="shared" si="4"/>
        <v>29071</v>
      </c>
      <c r="J14" s="91">
        <f t="shared" si="4"/>
        <v>0</v>
      </c>
      <c r="K14" s="91">
        <f t="shared" si="4"/>
        <v>29071</v>
      </c>
      <c r="L14" s="91">
        <f t="shared" si="4"/>
        <v>0</v>
      </c>
      <c r="M14" s="91">
        <f t="shared" si="4"/>
        <v>29071</v>
      </c>
      <c r="N14" s="91">
        <f t="shared" si="4"/>
        <v>0</v>
      </c>
      <c r="O14" s="91">
        <f t="shared" si="4"/>
        <v>29071</v>
      </c>
      <c r="P14" s="91">
        <f t="shared" si="4"/>
        <v>18318</v>
      </c>
      <c r="Q14" s="91">
        <f t="shared" si="4"/>
        <v>47389</v>
      </c>
    </row>
    <row r="15" spans="1:17" ht="48" customHeight="1">
      <c r="A15" s="66"/>
      <c r="B15" s="84"/>
      <c r="C15" s="68">
        <v>2010</v>
      </c>
      <c r="D15" s="41" t="s">
        <v>208</v>
      </c>
      <c r="E15" s="91"/>
      <c r="F15" s="91"/>
      <c r="G15" s="91">
        <v>0</v>
      </c>
      <c r="H15" s="91">
        <v>29071</v>
      </c>
      <c r="I15" s="91">
        <f>SUM(G15:H15)</f>
        <v>29071</v>
      </c>
      <c r="J15" s="91"/>
      <c r="K15" s="91">
        <f>SUM(I15:J15)</f>
        <v>29071</v>
      </c>
      <c r="L15" s="91">
        <v>0</v>
      </c>
      <c r="M15" s="91">
        <f>SUM(K15:L15)</f>
        <v>29071</v>
      </c>
      <c r="N15" s="91">
        <v>0</v>
      </c>
      <c r="O15" s="91">
        <f>SUM(M15:N15)</f>
        <v>29071</v>
      </c>
      <c r="P15" s="91">
        <v>18318</v>
      </c>
      <c r="Q15" s="91">
        <f>SUM(O15:P15)</f>
        <v>47389</v>
      </c>
    </row>
    <row r="16" spans="1:17" ht="44.25" customHeight="1">
      <c r="A16" s="36">
        <v>751</v>
      </c>
      <c r="B16" s="38"/>
      <c r="C16" s="63"/>
      <c r="D16" s="39" t="s">
        <v>96</v>
      </c>
      <c r="E16" s="64">
        <f aca="true" t="shared" si="5" ref="E16:K16">SUM(E17,E19)</f>
        <v>3850</v>
      </c>
      <c r="F16" s="64">
        <f t="shared" si="5"/>
        <v>46434</v>
      </c>
      <c r="G16" s="64">
        <f t="shared" si="5"/>
        <v>50284</v>
      </c>
      <c r="H16" s="64">
        <f t="shared" si="5"/>
        <v>0</v>
      </c>
      <c r="I16" s="64">
        <f t="shared" si="5"/>
        <v>50284</v>
      </c>
      <c r="J16" s="64">
        <f t="shared" si="5"/>
        <v>0</v>
      </c>
      <c r="K16" s="64">
        <f t="shared" si="5"/>
        <v>50284</v>
      </c>
      <c r="L16" s="64">
        <f aca="true" t="shared" si="6" ref="L16:Q16">SUM(L17,L19)</f>
        <v>0</v>
      </c>
      <c r="M16" s="64">
        <f t="shared" si="6"/>
        <v>50284</v>
      </c>
      <c r="N16" s="64">
        <f t="shared" si="6"/>
        <v>0</v>
      </c>
      <c r="O16" s="64">
        <f t="shared" si="6"/>
        <v>50284</v>
      </c>
      <c r="P16" s="64">
        <f t="shared" si="6"/>
        <v>0</v>
      </c>
      <c r="Q16" s="64">
        <f t="shared" si="6"/>
        <v>50284</v>
      </c>
    </row>
    <row r="17" spans="1:17" ht="30" customHeight="1">
      <c r="A17" s="84"/>
      <c r="B17" s="66">
        <v>75101</v>
      </c>
      <c r="C17" s="67"/>
      <c r="D17" s="41" t="s">
        <v>21</v>
      </c>
      <c r="E17" s="92">
        <f aca="true" t="shared" si="7" ref="E17:Q17">SUM(E18)</f>
        <v>3850</v>
      </c>
      <c r="F17" s="92">
        <f t="shared" si="7"/>
        <v>0</v>
      </c>
      <c r="G17" s="92">
        <f t="shared" si="7"/>
        <v>3850</v>
      </c>
      <c r="H17" s="92">
        <f t="shared" si="7"/>
        <v>0</v>
      </c>
      <c r="I17" s="92">
        <f t="shared" si="7"/>
        <v>3850</v>
      </c>
      <c r="J17" s="92">
        <f t="shared" si="7"/>
        <v>0</v>
      </c>
      <c r="K17" s="92">
        <f t="shared" si="7"/>
        <v>3850</v>
      </c>
      <c r="L17" s="92">
        <f t="shared" si="7"/>
        <v>0</v>
      </c>
      <c r="M17" s="92">
        <f t="shared" si="7"/>
        <v>3850</v>
      </c>
      <c r="N17" s="92">
        <f t="shared" si="7"/>
        <v>0</v>
      </c>
      <c r="O17" s="92">
        <f t="shared" si="7"/>
        <v>3850</v>
      </c>
      <c r="P17" s="92">
        <f t="shared" si="7"/>
        <v>0</v>
      </c>
      <c r="Q17" s="92">
        <f t="shared" si="7"/>
        <v>3850</v>
      </c>
    </row>
    <row r="18" spans="1:17" ht="35.25" customHeight="1">
      <c r="A18" s="84"/>
      <c r="B18" s="66"/>
      <c r="C18" s="68" t="s">
        <v>177</v>
      </c>
      <c r="D18" s="41" t="s">
        <v>208</v>
      </c>
      <c r="E18" s="92">
        <v>3850</v>
      </c>
      <c r="F18" s="92"/>
      <c r="G18" s="92">
        <f>SUM(E18:F18)</f>
        <v>3850</v>
      </c>
      <c r="H18" s="92">
        <v>0</v>
      </c>
      <c r="I18" s="92">
        <f>SUM(G18:H18)</f>
        <v>3850</v>
      </c>
      <c r="J18" s="92">
        <v>0</v>
      </c>
      <c r="K18" s="92">
        <f>SUM(I18:J18)</f>
        <v>3850</v>
      </c>
      <c r="L18" s="92">
        <v>0</v>
      </c>
      <c r="M18" s="92">
        <f>SUM(K18:L18)</f>
        <v>3850</v>
      </c>
      <c r="N18" s="92">
        <v>0</v>
      </c>
      <c r="O18" s="92">
        <f>SUM(M18:N18)</f>
        <v>3850</v>
      </c>
      <c r="P18" s="92">
        <v>0</v>
      </c>
      <c r="Q18" s="92">
        <f>SUM(O18:P18)</f>
        <v>3850</v>
      </c>
    </row>
    <row r="19" spans="1:17" ht="24.75" customHeight="1">
      <c r="A19" s="84"/>
      <c r="B19" s="66">
        <v>75108</v>
      </c>
      <c r="C19" s="68"/>
      <c r="D19" s="41" t="s">
        <v>338</v>
      </c>
      <c r="E19" s="92">
        <f aca="true" t="shared" si="8" ref="E19:Q19">SUM(E20)</f>
        <v>0</v>
      </c>
      <c r="F19" s="92">
        <f t="shared" si="8"/>
        <v>46434</v>
      </c>
      <c r="G19" s="92">
        <f t="shared" si="8"/>
        <v>46434</v>
      </c>
      <c r="H19" s="92">
        <f t="shared" si="8"/>
        <v>0</v>
      </c>
      <c r="I19" s="92">
        <f t="shared" si="8"/>
        <v>46434</v>
      </c>
      <c r="J19" s="92">
        <f t="shared" si="8"/>
        <v>0</v>
      </c>
      <c r="K19" s="92">
        <f t="shared" si="8"/>
        <v>46434</v>
      </c>
      <c r="L19" s="92">
        <f t="shared" si="8"/>
        <v>0</v>
      </c>
      <c r="M19" s="92">
        <f t="shared" si="8"/>
        <v>46434</v>
      </c>
      <c r="N19" s="92">
        <f t="shared" si="8"/>
        <v>0</v>
      </c>
      <c r="O19" s="92">
        <f t="shared" si="8"/>
        <v>46434</v>
      </c>
      <c r="P19" s="92">
        <f t="shared" si="8"/>
        <v>0</v>
      </c>
      <c r="Q19" s="92">
        <f t="shared" si="8"/>
        <v>46434</v>
      </c>
    </row>
    <row r="20" spans="1:17" ht="35.25" customHeight="1">
      <c r="A20" s="84"/>
      <c r="B20" s="66"/>
      <c r="C20" s="68">
        <v>2010</v>
      </c>
      <c r="D20" s="41" t="s">
        <v>208</v>
      </c>
      <c r="E20" s="92">
        <v>0</v>
      </c>
      <c r="F20" s="92">
        <v>46434</v>
      </c>
      <c r="G20" s="92">
        <f>SUM(E20:F20)</f>
        <v>46434</v>
      </c>
      <c r="H20" s="92">
        <v>0</v>
      </c>
      <c r="I20" s="92">
        <f>SUM(G20:H20)</f>
        <v>46434</v>
      </c>
      <c r="J20" s="92">
        <v>0</v>
      </c>
      <c r="K20" s="92">
        <f>SUM(I20:J20)</f>
        <v>46434</v>
      </c>
      <c r="L20" s="92">
        <v>0</v>
      </c>
      <c r="M20" s="92">
        <f>SUM(K20:L20)</f>
        <v>46434</v>
      </c>
      <c r="N20" s="92">
        <v>0</v>
      </c>
      <c r="O20" s="92">
        <f>SUM(M20:N20)</f>
        <v>46434</v>
      </c>
      <c r="P20" s="92">
        <v>0</v>
      </c>
      <c r="Q20" s="92">
        <f>SUM(O20:P20)</f>
        <v>46434</v>
      </c>
    </row>
    <row r="21" spans="1:17" ht="19.5" customHeight="1">
      <c r="A21" s="36" t="s">
        <v>152</v>
      </c>
      <c r="B21" s="38"/>
      <c r="C21" s="63"/>
      <c r="D21" s="39" t="s">
        <v>184</v>
      </c>
      <c r="E21" s="62">
        <f>SUM(E22,E24)</f>
        <v>6943861</v>
      </c>
      <c r="F21" s="62">
        <f>SUM(F22,F24)</f>
        <v>0</v>
      </c>
      <c r="G21" s="62">
        <f aca="true" t="shared" si="9" ref="G21:M21">SUM(G22,G24,G26)</f>
        <v>6943861</v>
      </c>
      <c r="H21" s="62">
        <f t="shared" si="9"/>
        <v>3280</v>
      </c>
      <c r="I21" s="62">
        <f t="shared" si="9"/>
        <v>6947141</v>
      </c>
      <c r="J21" s="62">
        <f t="shared" si="9"/>
        <v>0</v>
      </c>
      <c r="K21" s="62">
        <f t="shared" si="9"/>
        <v>6947141</v>
      </c>
      <c r="L21" s="62">
        <f t="shared" si="9"/>
        <v>9932</v>
      </c>
      <c r="M21" s="62">
        <f t="shared" si="9"/>
        <v>6957073</v>
      </c>
      <c r="N21" s="62">
        <f>SUM(N22,N24,N26)</f>
        <v>6000</v>
      </c>
      <c r="O21" s="62">
        <f>SUM(O22,O24,O26)</f>
        <v>6963073</v>
      </c>
      <c r="P21" s="62">
        <f>SUM(P22,P24,P26)</f>
        <v>3000</v>
      </c>
      <c r="Q21" s="62">
        <f>SUM(Q22,Q24,Q26)</f>
        <v>6966073</v>
      </c>
    </row>
    <row r="22" spans="1:17" ht="53.25" customHeight="1">
      <c r="A22" s="66"/>
      <c r="B22" s="50">
        <v>85212</v>
      </c>
      <c r="C22" s="77"/>
      <c r="D22" s="75" t="s">
        <v>261</v>
      </c>
      <c r="E22" s="89">
        <f aca="true" t="shared" si="10" ref="E22:Q22">SUM(E23)</f>
        <v>6927793</v>
      </c>
      <c r="F22" s="89">
        <f t="shared" si="10"/>
        <v>0</v>
      </c>
      <c r="G22" s="89">
        <f t="shared" si="10"/>
        <v>6927793</v>
      </c>
      <c r="H22" s="89">
        <f t="shared" si="10"/>
        <v>0</v>
      </c>
      <c r="I22" s="89">
        <f t="shared" si="10"/>
        <v>6927793</v>
      </c>
      <c r="J22" s="89">
        <f t="shared" si="10"/>
        <v>0</v>
      </c>
      <c r="K22" s="89">
        <f t="shared" si="10"/>
        <v>6927793</v>
      </c>
      <c r="L22" s="89">
        <f t="shared" si="10"/>
        <v>0</v>
      </c>
      <c r="M22" s="89">
        <f t="shared" si="10"/>
        <v>6927793</v>
      </c>
      <c r="N22" s="89">
        <f t="shared" si="10"/>
        <v>0</v>
      </c>
      <c r="O22" s="89">
        <f t="shared" si="10"/>
        <v>6927793</v>
      </c>
      <c r="P22" s="89">
        <f t="shared" si="10"/>
        <v>0</v>
      </c>
      <c r="Q22" s="89">
        <f t="shared" si="10"/>
        <v>6927793</v>
      </c>
    </row>
    <row r="23" spans="1:17" ht="51" customHeight="1">
      <c r="A23" s="66"/>
      <c r="B23" s="50"/>
      <c r="C23" s="77">
        <v>2010</v>
      </c>
      <c r="D23" s="41" t="s">
        <v>208</v>
      </c>
      <c r="E23" s="89">
        <v>6927793</v>
      </c>
      <c r="F23" s="89"/>
      <c r="G23" s="89">
        <f>SUM(E23:F23)</f>
        <v>6927793</v>
      </c>
      <c r="H23" s="89">
        <v>0</v>
      </c>
      <c r="I23" s="89">
        <f>SUM(G23:H23)</f>
        <v>6927793</v>
      </c>
      <c r="J23" s="89">
        <v>0</v>
      </c>
      <c r="K23" s="89">
        <f>SUM(I23:J23)</f>
        <v>6927793</v>
      </c>
      <c r="L23" s="89">
        <v>0</v>
      </c>
      <c r="M23" s="89">
        <f>SUM(K23:L23)</f>
        <v>6927793</v>
      </c>
      <c r="N23" s="89">
        <v>0</v>
      </c>
      <c r="O23" s="89">
        <f>SUM(M23:N23)</f>
        <v>6927793</v>
      </c>
      <c r="P23" s="89">
        <v>0</v>
      </c>
      <c r="Q23" s="89">
        <f>SUM(O23:P23)</f>
        <v>6927793</v>
      </c>
    </row>
    <row r="24" spans="1:17" ht="63.75" customHeight="1">
      <c r="A24" s="66"/>
      <c r="B24" s="84">
        <v>85213</v>
      </c>
      <c r="C24" s="67"/>
      <c r="D24" s="75" t="s">
        <v>260</v>
      </c>
      <c r="E24" s="89">
        <f aca="true" t="shared" si="11" ref="E24:Q24">SUM(E25)</f>
        <v>16068</v>
      </c>
      <c r="F24" s="89">
        <f t="shared" si="11"/>
        <v>0</v>
      </c>
      <c r="G24" s="89">
        <f t="shared" si="11"/>
        <v>16068</v>
      </c>
      <c r="H24" s="89">
        <f t="shared" si="11"/>
        <v>0</v>
      </c>
      <c r="I24" s="89">
        <f t="shared" si="11"/>
        <v>16068</v>
      </c>
      <c r="J24" s="89">
        <f t="shared" si="11"/>
        <v>0</v>
      </c>
      <c r="K24" s="89">
        <f t="shared" si="11"/>
        <v>16068</v>
      </c>
      <c r="L24" s="89">
        <f t="shared" si="11"/>
        <v>9932</v>
      </c>
      <c r="M24" s="89">
        <f t="shared" si="11"/>
        <v>26000</v>
      </c>
      <c r="N24" s="89">
        <f t="shared" si="11"/>
        <v>0</v>
      </c>
      <c r="O24" s="89">
        <f t="shared" si="11"/>
        <v>26000</v>
      </c>
      <c r="P24" s="89">
        <f t="shared" si="11"/>
        <v>0</v>
      </c>
      <c r="Q24" s="89">
        <f t="shared" si="11"/>
        <v>26000</v>
      </c>
    </row>
    <row r="25" spans="1:17" ht="48.75" customHeight="1">
      <c r="A25" s="66"/>
      <c r="B25" s="84"/>
      <c r="C25" s="84">
        <v>2010</v>
      </c>
      <c r="D25" s="41" t="s">
        <v>208</v>
      </c>
      <c r="E25" s="89">
        <v>16068</v>
      </c>
      <c r="F25" s="89"/>
      <c r="G25" s="89">
        <f>SUM(E25:F25)</f>
        <v>16068</v>
      </c>
      <c r="H25" s="89">
        <v>0</v>
      </c>
      <c r="I25" s="89">
        <f>SUM(G25:H25)</f>
        <v>16068</v>
      </c>
      <c r="J25" s="89"/>
      <c r="K25" s="89">
        <f>SUM(I25:J25)</f>
        <v>16068</v>
      </c>
      <c r="L25" s="89">
        <v>9932</v>
      </c>
      <c r="M25" s="89">
        <f>SUM(K25:L25)</f>
        <v>26000</v>
      </c>
      <c r="N25" s="89"/>
      <c r="O25" s="89">
        <f>SUM(M25:N25)</f>
        <v>26000</v>
      </c>
      <c r="P25" s="89"/>
      <c r="Q25" s="89">
        <f>SUM(O25:P25)</f>
        <v>26000</v>
      </c>
    </row>
    <row r="26" spans="1:17" ht="22.5" customHeight="1">
      <c r="A26" s="66"/>
      <c r="B26" s="84">
        <v>85219</v>
      </c>
      <c r="C26" s="84"/>
      <c r="D26" s="75" t="s">
        <v>274</v>
      </c>
      <c r="E26" s="89"/>
      <c r="F26" s="89"/>
      <c r="G26" s="89">
        <f aca="true" t="shared" si="12" ref="G26:Q26">SUM(G27)</f>
        <v>0</v>
      </c>
      <c r="H26" s="89">
        <f t="shared" si="12"/>
        <v>3280</v>
      </c>
      <c r="I26" s="89">
        <f t="shared" si="12"/>
        <v>3280</v>
      </c>
      <c r="J26" s="89">
        <f t="shared" si="12"/>
        <v>0</v>
      </c>
      <c r="K26" s="89">
        <f t="shared" si="12"/>
        <v>3280</v>
      </c>
      <c r="L26" s="89">
        <f t="shared" si="12"/>
        <v>0</v>
      </c>
      <c r="M26" s="89">
        <f t="shared" si="12"/>
        <v>3280</v>
      </c>
      <c r="N26" s="89">
        <f t="shared" si="12"/>
        <v>6000</v>
      </c>
      <c r="O26" s="89">
        <f t="shared" si="12"/>
        <v>9280</v>
      </c>
      <c r="P26" s="89">
        <f t="shared" si="12"/>
        <v>3000</v>
      </c>
      <c r="Q26" s="89">
        <f t="shared" si="12"/>
        <v>12280</v>
      </c>
    </row>
    <row r="27" spans="1:17" ht="51" customHeight="1">
      <c r="A27" s="66"/>
      <c r="B27" s="84"/>
      <c r="C27" s="84">
        <v>2010</v>
      </c>
      <c r="D27" s="41" t="s">
        <v>208</v>
      </c>
      <c r="E27" s="89"/>
      <c r="F27" s="89"/>
      <c r="G27" s="89">
        <v>0</v>
      </c>
      <c r="H27" s="89">
        <v>3280</v>
      </c>
      <c r="I27" s="89">
        <f>SUM(G27:H27)</f>
        <v>3280</v>
      </c>
      <c r="J27" s="89"/>
      <c r="K27" s="89">
        <f>SUM(I27:J27)</f>
        <v>3280</v>
      </c>
      <c r="L27" s="89">
        <v>0</v>
      </c>
      <c r="M27" s="89">
        <f>SUM(K27:L27)</f>
        <v>3280</v>
      </c>
      <c r="N27" s="89">
        <v>6000</v>
      </c>
      <c r="O27" s="89">
        <f>SUM(M27:N27)</f>
        <v>9280</v>
      </c>
      <c r="P27" s="89">
        <v>3000</v>
      </c>
      <c r="Q27" s="89">
        <f>SUM(O27:P27)</f>
        <v>12280</v>
      </c>
    </row>
    <row r="28" spans="1:17" ht="24" customHeight="1">
      <c r="A28" s="172"/>
      <c r="B28" s="173"/>
      <c r="C28" s="173"/>
      <c r="D28" s="174" t="s">
        <v>65</v>
      </c>
      <c r="E28" s="175">
        <f>SUM(E11,E16,E21,)</f>
        <v>7104311</v>
      </c>
      <c r="F28" s="175">
        <f>SUM(F11,F16,F21,)</f>
        <v>46434</v>
      </c>
      <c r="G28" s="175">
        <f>SUM(G11,G16,G21,)</f>
        <v>7150745</v>
      </c>
      <c r="H28" s="175">
        <f>SUM(H11,H16,H21,)</f>
        <v>32351</v>
      </c>
      <c r="I28" s="175">
        <f aca="true" t="shared" si="13" ref="I28:O28">SUM(I11,I16,I21,I8)</f>
        <v>7183096</v>
      </c>
      <c r="J28" s="175">
        <f t="shared" si="13"/>
        <v>0</v>
      </c>
      <c r="K28" s="175">
        <f t="shared" si="13"/>
        <v>7183096</v>
      </c>
      <c r="L28" s="175">
        <f t="shared" si="13"/>
        <v>271570</v>
      </c>
      <c r="M28" s="175">
        <f t="shared" si="13"/>
        <v>7454666</v>
      </c>
      <c r="N28" s="175">
        <f t="shared" si="13"/>
        <v>6000</v>
      </c>
      <c r="O28" s="175">
        <f t="shared" si="13"/>
        <v>7460666</v>
      </c>
      <c r="P28" s="175">
        <f>SUM(P11,P16,P21,P8)</f>
        <v>21318</v>
      </c>
      <c r="Q28" s="175">
        <f>SUM(Q11,Q16,Q21,Q8)</f>
        <v>7481984</v>
      </c>
    </row>
    <row r="29" spans="1:17" ht="24" customHeight="1">
      <c r="A29" s="172"/>
      <c r="B29" s="173"/>
      <c r="C29" s="173"/>
      <c r="D29" s="19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</row>
    <row r="30" spans="1:17" ht="24" customHeight="1">
      <c r="A30" s="172"/>
      <c r="B30" s="173"/>
      <c r="C30" s="173"/>
      <c r="D30" s="197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</row>
    <row r="31" spans="1:17" ht="24" customHeight="1">
      <c r="A31" s="232" t="s">
        <v>323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s="223" customFormat="1" ht="30" customHeight="1">
      <c r="A32" s="60" t="s">
        <v>0</v>
      </c>
      <c r="B32" s="60" t="s">
        <v>1</v>
      </c>
      <c r="C32" s="60" t="s">
        <v>2</v>
      </c>
      <c r="D32" s="60" t="s">
        <v>3</v>
      </c>
      <c r="E32" s="222" t="s">
        <v>282</v>
      </c>
      <c r="F32" s="222" t="s">
        <v>336</v>
      </c>
      <c r="G32" s="222" t="s">
        <v>139</v>
      </c>
      <c r="H32" s="222" t="s">
        <v>337</v>
      </c>
      <c r="I32" s="222" t="s">
        <v>140</v>
      </c>
      <c r="J32" s="222" t="s">
        <v>337</v>
      </c>
      <c r="K32" s="222" t="s">
        <v>140</v>
      </c>
      <c r="L32" s="222" t="s">
        <v>337</v>
      </c>
      <c r="M32" s="222" t="s">
        <v>394</v>
      </c>
      <c r="N32" s="222" t="s">
        <v>337</v>
      </c>
      <c r="O32" s="222" t="s">
        <v>140</v>
      </c>
      <c r="P32" s="222" t="s">
        <v>337</v>
      </c>
      <c r="Q32" s="222" t="s">
        <v>394</v>
      </c>
    </row>
    <row r="33" spans="1:17" s="223" customFormat="1" ht="30" customHeight="1">
      <c r="A33" s="36" t="s">
        <v>4</v>
      </c>
      <c r="B33" s="60"/>
      <c r="C33" s="93"/>
      <c r="D33" s="129" t="s">
        <v>5</v>
      </c>
      <c r="E33" s="222"/>
      <c r="F33" s="222"/>
      <c r="G33" s="222"/>
      <c r="H33" s="222"/>
      <c r="I33" s="242">
        <f aca="true" t="shared" si="14" ref="I33:Q33">SUM(I34)</f>
        <v>0</v>
      </c>
      <c r="J33" s="242">
        <f t="shared" si="14"/>
        <v>0</v>
      </c>
      <c r="K33" s="242">
        <f t="shared" si="14"/>
        <v>0</v>
      </c>
      <c r="L33" s="242">
        <f t="shared" si="14"/>
        <v>261638</v>
      </c>
      <c r="M33" s="242">
        <f t="shared" si="14"/>
        <v>261638</v>
      </c>
      <c r="N33" s="242">
        <f t="shared" si="14"/>
        <v>0</v>
      </c>
      <c r="O33" s="242">
        <f t="shared" si="14"/>
        <v>261638</v>
      </c>
      <c r="P33" s="242">
        <f t="shared" si="14"/>
        <v>0</v>
      </c>
      <c r="Q33" s="242">
        <f t="shared" si="14"/>
        <v>261638</v>
      </c>
    </row>
    <row r="34" spans="1:17" s="241" customFormat="1" ht="19.5" customHeight="1">
      <c r="A34" s="147"/>
      <c r="B34" s="145" t="s">
        <v>234</v>
      </c>
      <c r="C34" s="239"/>
      <c r="D34" s="130" t="s">
        <v>6</v>
      </c>
      <c r="E34" s="240"/>
      <c r="F34" s="240"/>
      <c r="G34" s="240"/>
      <c r="H34" s="240"/>
      <c r="I34" s="243">
        <f aca="true" t="shared" si="15" ref="I34:O34">SUM(I35:I40)</f>
        <v>0</v>
      </c>
      <c r="J34" s="243">
        <f t="shared" si="15"/>
        <v>0</v>
      </c>
      <c r="K34" s="243">
        <f t="shared" si="15"/>
        <v>0</v>
      </c>
      <c r="L34" s="243">
        <f t="shared" si="15"/>
        <v>261638</v>
      </c>
      <c r="M34" s="243">
        <f t="shared" si="15"/>
        <v>261638</v>
      </c>
      <c r="N34" s="243">
        <f t="shared" si="15"/>
        <v>0</v>
      </c>
      <c r="O34" s="243">
        <f t="shared" si="15"/>
        <v>261638</v>
      </c>
      <c r="P34" s="243">
        <f>SUM(P35:P40)</f>
        <v>0</v>
      </c>
      <c r="Q34" s="243">
        <f>SUM(Q35:Q40)</f>
        <v>261638</v>
      </c>
    </row>
    <row r="35" spans="1:17" s="241" customFormat="1" ht="19.5" customHeight="1">
      <c r="A35" s="147"/>
      <c r="B35" s="147"/>
      <c r="C35" s="239">
        <v>4010</v>
      </c>
      <c r="D35" s="41" t="s">
        <v>82</v>
      </c>
      <c r="E35" s="240"/>
      <c r="F35" s="240"/>
      <c r="G35" s="240"/>
      <c r="H35" s="240"/>
      <c r="I35" s="243">
        <v>0</v>
      </c>
      <c r="J35" s="243"/>
      <c r="K35" s="243">
        <f aca="true" t="shared" si="16" ref="K35:K40">SUM(I35:J35)</f>
        <v>0</v>
      </c>
      <c r="L35" s="243">
        <v>3378</v>
      </c>
      <c r="M35" s="243">
        <f aca="true" t="shared" si="17" ref="M35:M40">SUM(K35:L35)</f>
        <v>3378</v>
      </c>
      <c r="N35" s="243">
        <v>0</v>
      </c>
      <c r="O35" s="243">
        <f aca="true" t="shared" si="18" ref="O35:O40">SUM(M35:N35)</f>
        <v>3378</v>
      </c>
      <c r="P35" s="243">
        <v>0</v>
      </c>
      <c r="Q35" s="243">
        <f aca="true" t="shared" si="19" ref="Q35:Q40">SUM(O35:P35)</f>
        <v>3378</v>
      </c>
    </row>
    <row r="36" spans="1:17" s="241" customFormat="1" ht="19.5" customHeight="1">
      <c r="A36" s="147"/>
      <c r="B36" s="147"/>
      <c r="C36" s="239">
        <v>4110</v>
      </c>
      <c r="D36" s="41" t="s">
        <v>283</v>
      </c>
      <c r="E36" s="240"/>
      <c r="F36" s="240"/>
      <c r="G36" s="240"/>
      <c r="H36" s="240"/>
      <c r="I36" s="243">
        <v>0</v>
      </c>
      <c r="J36" s="243"/>
      <c r="K36" s="243">
        <f t="shared" si="16"/>
        <v>0</v>
      </c>
      <c r="L36" s="243">
        <v>513</v>
      </c>
      <c r="M36" s="243">
        <f t="shared" si="17"/>
        <v>513</v>
      </c>
      <c r="N36" s="243">
        <v>0</v>
      </c>
      <c r="O36" s="243">
        <f t="shared" si="18"/>
        <v>513</v>
      </c>
      <c r="P36" s="243">
        <v>0</v>
      </c>
      <c r="Q36" s="243">
        <f t="shared" si="19"/>
        <v>513</v>
      </c>
    </row>
    <row r="37" spans="1:17" s="241" customFormat="1" ht="19.5" customHeight="1">
      <c r="A37" s="147"/>
      <c r="B37" s="147"/>
      <c r="C37" s="239">
        <v>4120</v>
      </c>
      <c r="D37" s="41" t="s">
        <v>85</v>
      </c>
      <c r="E37" s="240"/>
      <c r="F37" s="240"/>
      <c r="G37" s="240"/>
      <c r="H37" s="240"/>
      <c r="I37" s="243">
        <v>0</v>
      </c>
      <c r="J37" s="243"/>
      <c r="K37" s="243">
        <f t="shared" si="16"/>
        <v>0</v>
      </c>
      <c r="L37" s="243">
        <v>82</v>
      </c>
      <c r="M37" s="243">
        <f t="shared" si="17"/>
        <v>82</v>
      </c>
      <c r="N37" s="243">
        <v>0</v>
      </c>
      <c r="O37" s="243">
        <f t="shared" si="18"/>
        <v>82</v>
      </c>
      <c r="P37" s="243">
        <v>0</v>
      </c>
      <c r="Q37" s="243">
        <f t="shared" si="19"/>
        <v>82</v>
      </c>
    </row>
    <row r="38" spans="1:17" s="241" customFormat="1" ht="19.5" customHeight="1">
      <c r="A38" s="147"/>
      <c r="B38" s="147"/>
      <c r="C38" s="239">
        <v>4210</v>
      </c>
      <c r="D38" s="41" t="s">
        <v>90</v>
      </c>
      <c r="E38" s="240"/>
      <c r="F38" s="240"/>
      <c r="G38" s="240"/>
      <c r="H38" s="240"/>
      <c r="I38" s="243">
        <v>0</v>
      </c>
      <c r="J38" s="243"/>
      <c r="K38" s="243">
        <f t="shared" si="16"/>
        <v>0</v>
      </c>
      <c r="L38" s="243">
        <v>335</v>
      </c>
      <c r="M38" s="243">
        <f t="shared" si="17"/>
        <v>335</v>
      </c>
      <c r="N38" s="243">
        <v>0</v>
      </c>
      <c r="O38" s="243">
        <f t="shared" si="18"/>
        <v>335</v>
      </c>
      <c r="P38" s="243">
        <v>0</v>
      </c>
      <c r="Q38" s="243">
        <f t="shared" si="19"/>
        <v>335</v>
      </c>
    </row>
    <row r="39" spans="1:17" s="241" customFormat="1" ht="19.5" customHeight="1">
      <c r="A39" s="147"/>
      <c r="B39" s="147"/>
      <c r="C39" s="239">
        <v>4300</v>
      </c>
      <c r="D39" s="41" t="s">
        <v>77</v>
      </c>
      <c r="E39" s="240"/>
      <c r="F39" s="240"/>
      <c r="G39" s="240"/>
      <c r="H39" s="240"/>
      <c r="I39" s="243">
        <v>0</v>
      </c>
      <c r="J39" s="243"/>
      <c r="K39" s="243">
        <f t="shared" si="16"/>
        <v>0</v>
      </c>
      <c r="L39" s="243">
        <v>822</v>
      </c>
      <c r="M39" s="243">
        <f t="shared" si="17"/>
        <v>822</v>
      </c>
      <c r="N39" s="243">
        <v>0</v>
      </c>
      <c r="O39" s="243">
        <f t="shared" si="18"/>
        <v>822</v>
      </c>
      <c r="P39" s="243">
        <v>0</v>
      </c>
      <c r="Q39" s="243">
        <f t="shared" si="19"/>
        <v>822</v>
      </c>
    </row>
    <row r="40" spans="1:17" s="241" customFormat="1" ht="19.5" customHeight="1">
      <c r="A40" s="147"/>
      <c r="B40" s="147"/>
      <c r="C40" s="239">
        <v>4430</v>
      </c>
      <c r="D40" s="41" t="s">
        <v>92</v>
      </c>
      <c r="E40" s="240"/>
      <c r="F40" s="240"/>
      <c r="G40" s="240"/>
      <c r="H40" s="240"/>
      <c r="I40" s="243">
        <v>0</v>
      </c>
      <c r="J40" s="243"/>
      <c r="K40" s="243">
        <f t="shared" si="16"/>
        <v>0</v>
      </c>
      <c r="L40" s="243">
        <v>256508</v>
      </c>
      <c r="M40" s="243">
        <f t="shared" si="17"/>
        <v>256508</v>
      </c>
      <c r="N40" s="243">
        <v>0</v>
      </c>
      <c r="O40" s="243">
        <f t="shared" si="18"/>
        <v>256508</v>
      </c>
      <c r="P40" s="243">
        <v>0</v>
      </c>
      <c r="Q40" s="243">
        <f t="shared" si="19"/>
        <v>256508</v>
      </c>
    </row>
    <row r="41" spans="1:17" s="9" customFormat="1" ht="19.5" customHeight="1">
      <c r="A41" s="36" t="s">
        <v>15</v>
      </c>
      <c r="B41" s="29"/>
      <c r="C41" s="54"/>
      <c r="D41" s="39" t="s">
        <v>16</v>
      </c>
      <c r="E41" s="62">
        <f>SUM(E42)</f>
        <v>156600</v>
      </c>
      <c r="F41" s="62">
        <f>SUM(F42)</f>
        <v>0</v>
      </c>
      <c r="G41" s="62">
        <f aca="true" t="shared" si="20" ref="G41:M41">SUM(G42,G48)</f>
        <v>156600</v>
      </c>
      <c r="H41" s="62">
        <f t="shared" si="20"/>
        <v>29071</v>
      </c>
      <c r="I41" s="62">
        <f t="shared" si="20"/>
        <v>185671</v>
      </c>
      <c r="J41" s="62">
        <f t="shared" si="20"/>
        <v>0</v>
      </c>
      <c r="K41" s="62">
        <f t="shared" si="20"/>
        <v>185671</v>
      </c>
      <c r="L41" s="62">
        <f t="shared" si="20"/>
        <v>0</v>
      </c>
      <c r="M41" s="62">
        <f t="shared" si="20"/>
        <v>185671</v>
      </c>
      <c r="N41" s="62">
        <f>SUM(N42,N48)</f>
        <v>0</v>
      </c>
      <c r="O41" s="62">
        <f>SUM(O42,O48)</f>
        <v>185671</v>
      </c>
      <c r="P41" s="62">
        <f>SUM(P42,P48)</f>
        <v>18318</v>
      </c>
      <c r="Q41" s="62">
        <f>SUM(Q42,Q48)</f>
        <v>203989</v>
      </c>
    </row>
    <row r="42" spans="1:17" s="26" customFormat="1" ht="19.5" customHeight="1">
      <c r="A42" s="66"/>
      <c r="B42" s="66">
        <v>75011</v>
      </c>
      <c r="C42" s="67"/>
      <c r="D42" s="41" t="s">
        <v>17</v>
      </c>
      <c r="E42" s="91">
        <f aca="true" t="shared" si="21" ref="E42:K42">SUM(E43:E47)</f>
        <v>156600</v>
      </c>
      <c r="F42" s="91">
        <f t="shared" si="21"/>
        <v>0</v>
      </c>
      <c r="G42" s="91">
        <f t="shared" si="21"/>
        <v>156600</v>
      </c>
      <c r="H42" s="91">
        <f t="shared" si="21"/>
        <v>0</v>
      </c>
      <c r="I42" s="91">
        <f t="shared" si="21"/>
        <v>156600</v>
      </c>
      <c r="J42" s="91">
        <f t="shared" si="21"/>
        <v>0</v>
      </c>
      <c r="K42" s="91">
        <f t="shared" si="21"/>
        <v>156600</v>
      </c>
      <c r="L42" s="91">
        <f aca="true" t="shared" si="22" ref="L42:Q42">SUM(L43:L47)</f>
        <v>0</v>
      </c>
      <c r="M42" s="91">
        <f t="shared" si="22"/>
        <v>156600</v>
      </c>
      <c r="N42" s="91">
        <f t="shared" si="22"/>
        <v>0</v>
      </c>
      <c r="O42" s="91">
        <f t="shared" si="22"/>
        <v>156600</v>
      </c>
      <c r="P42" s="91">
        <f t="shared" si="22"/>
        <v>0</v>
      </c>
      <c r="Q42" s="91">
        <f t="shared" si="22"/>
        <v>156600</v>
      </c>
    </row>
    <row r="43" spans="1:17" s="26" customFormat="1" ht="19.5" customHeight="1">
      <c r="A43" s="66"/>
      <c r="B43" s="84"/>
      <c r="C43" s="68">
        <v>4010</v>
      </c>
      <c r="D43" s="41" t="s">
        <v>82</v>
      </c>
      <c r="E43" s="90">
        <v>102400</v>
      </c>
      <c r="F43" s="90"/>
      <c r="G43" s="90">
        <f>SUM(E43:F43)</f>
        <v>102400</v>
      </c>
      <c r="H43" s="90">
        <v>0</v>
      </c>
      <c r="I43" s="90">
        <f>SUM(G43:H43)</f>
        <v>102400</v>
      </c>
      <c r="J43" s="90">
        <v>0</v>
      </c>
      <c r="K43" s="90">
        <f>SUM(I43:J43)</f>
        <v>102400</v>
      </c>
      <c r="L43" s="90">
        <v>0</v>
      </c>
      <c r="M43" s="90">
        <f>SUM(K43:L43)</f>
        <v>102400</v>
      </c>
      <c r="N43" s="90">
        <v>412</v>
      </c>
      <c r="O43" s="90">
        <f>SUM(M43:N43)</f>
        <v>102812</v>
      </c>
      <c r="P43" s="90"/>
      <c r="Q43" s="90">
        <f>SUM(O43:P43)</f>
        <v>102812</v>
      </c>
    </row>
    <row r="44" spans="1:17" s="26" customFormat="1" ht="19.5" customHeight="1">
      <c r="A44" s="66"/>
      <c r="B44" s="84"/>
      <c r="C44" s="68">
        <v>4040</v>
      </c>
      <c r="D44" s="41" t="s">
        <v>83</v>
      </c>
      <c r="E44" s="90">
        <v>21800</v>
      </c>
      <c r="F44" s="90"/>
      <c r="G44" s="90">
        <f>SUM(E44:F44)</f>
        <v>21800</v>
      </c>
      <c r="H44" s="90">
        <v>0</v>
      </c>
      <c r="I44" s="90">
        <f>SUM(G44:H44)</f>
        <v>21800</v>
      </c>
      <c r="J44" s="90">
        <v>0</v>
      </c>
      <c r="K44" s="90">
        <f>SUM(I44:J44)</f>
        <v>21800</v>
      </c>
      <c r="L44" s="90">
        <v>0</v>
      </c>
      <c r="M44" s="90">
        <f>SUM(K44:L44)</f>
        <v>21800</v>
      </c>
      <c r="N44" s="90">
        <v>-412</v>
      </c>
      <c r="O44" s="90">
        <f>SUM(M44:N44)</f>
        <v>21388</v>
      </c>
      <c r="P44" s="90"/>
      <c r="Q44" s="90">
        <f>SUM(O44:P44)</f>
        <v>21388</v>
      </c>
    </row>
    <row r="45" spans="1:17" s="26" customFormat="1" ht="19.5" customHeight="1">
      <c r="A45" s="66"/>
      <c r="B45" s="84"/>
      <c r="C45" s="68">
        <v>4110</v>
      </c>
      <c r="D45" s="41" t="s">
        <v>283</v>
      </c>
      <c r="E45" s="90">
        <v>18900</v>
      </c>
      <c r="F45" s="90"/>
      <c r="G45" s="90">
        <f>SUM(E45:F45)</f>
        <v>18900</v>
      </c>
      <c r="H45" s="90">
        <v>0</v>
      </c>
      <c r="I45" s="90">
        <f>SUM(G45:H45)</f>
        <v>18900</v>
      </c>
      <c r="J45" s="90">
        <v>0</v>
      </c>
      <c r="K45" s="90">
        <f>SUM(I45:J45)</f>
        <v>18900</v>
      </c>
      <c r="L45" s="90">
        <v>0</v>
      </c>
      <c r="M45" s="90">
        <f>SUM(K45:L45)</f>
        <v>18900</v>
      </c>
      <c r="N45" s="90">
        <v>0</v>
      </c>
      <c r="O45" s="90">
        <f>SUM(M45:N45)</f>
        <v>18900</v>
      </c>
      <c r="P45" s="90">
        <v>0</v>
      </c>
      <c r="Q45" s="90">
        <f>SUM(O45:P45)</f>
        <v>18900</v>
      </c>
    </row>
    <row r="46" spans="1:17" s="26" customFormat="1" ht="19.5" customHeight="1">
      <c r="A46" s="66"/>
      <c r="B46" s="84"/>
      <c r="C46" s="68">
        <v>4120</v>
      </c>
      <c r="D46" s="41" t="s">
        <v>85</v>
      </c>
      <c r="E46" s="90">
        <v>3100</v>
      </c>
      <c r="F46" s="90"/>
      <c r="G46" s="90">
        <f>SUM(E46:F46)</f>
        <v>3100</v>
      </c>
      <c r="H46" s="90">
        <v>0</v>
      </c>
      <c r="I46" s="90">
        <f>SUM(G46:H46)</f>
        <v>3100</v>
      </c>
      <c r="J46" s="90">
        <v>0</v>
      </c>
      <c r="K46" s="90">
        <f>SUM(I46:J46)</f>
        <v>3100</v>
      </c>
      <c r="L46" s="90">
        <v>0</v>
      </c>
      <c r="M46" s="90">
        <f>SUM(K46:L46)</f>
        <v>3100</v>
      </c>
      <c r="N46" s="90">
        <v>0</v>
      </c>
      <c r="O46" s="90">
        <f>SUM(M46:N46)</f>
        <v>3100</v>
      </c>
      <c r="P46" s="90">
        <v>0</v>
      </c>
      <c r="Q46" s="90">
        <f>SUM(O46:P46)</f>
        <v>3100</v>
      </c>
    </row>
    <row r="47" spans="1:17" s="26" customFormat="1" ht="22.5">
      <c r="A47" s="66"/>
      <c r="B47" s="84"/>
      <c r="C47" s="68">
        <v>4440</v>
      </c>
      <c r="D47" s="41" t="s">
        <v>86</v>
      </c>
      <c r="E47" s="90">
        <v>10400</v>
      </c>
      <c r="F47" s="90"/>
      <c r="G47" s="90">
        <f>SUM(E47:F47)</f>
        <v>10400</v>
      </c>
      <c r="H47" s="90">
        <v>0</v>
      </c>
      <c r="I47" s="90">
        <f>SUM(G47:H47)</f>
        <v>10400</v>
      </c>
      <c r="J47" s="90">
        <v>0</v>
      </c>
      <c r="K47" s="90">
        <f>SUM(I47:J47)</f>
        <v>10400</v>
      </c>
      <c r="L47" s="90">
        <v>0</v>
      </c>
      <c r="M47" s="90">
        <f>SUM(K47:L47)</f>
        <v>10400</v>
      </c>
      <c r="N47" s="90">
        <v>0</v>
      </c>
      <c r="O47" s="90">
        <f>SUM(M47:N47)</f>
        <v>10400</v>
      </c>
      <c r="P47" s="90">
        <v>0</v>
      </c>
      <c r="Q47" s="90">
        <f>SUM(O47:P47)</f>
        <v>10400</v>
      </c>
    </row>
    <row r="48" spans="1:17" s="26" customFormat="1" ht="19.5" customHeight="1">
      <c r="A48" s="66"/>
      <c r="B48" s="84">
        <v>75056</v>
      </c>
      <c r="C48" s="68"/>
      <c r="D48" s="41" t="s">
        <v>388</v>
      </c>
      <c r="E48" s="90"/>
      <c r="F48" s="90"/>
      <c r="G48" s="90">
        <f aca="true" t="shared" si="23" ref="G48:L48">SUM(G49:G54)</f>
        <v>0</v>
      </c>
      <c r="H48" s="90">
        <f t="shared" si="23"/>
        <v>29071</v>
      </c>
      <c r="I48" s="90">
        <f t="shared" si="23"/>
        <v>29071</v>
      </c>
      <c r="J48" s="90">
        <f t="shared" si="23"/>
        <v>0</v>
      </c>
      <c r="K48" s="90">
        <f t="shared" si="23"/>
        <v>29071</v>
      </c>
      <c r="L48" s="90">
        <f t="shared" si="23"/>
        <v>0</v>
      </c>
      <c r="M48" s="90">
        <f>SUM(M49:M56)</f>
        <v>29071</v>
      </c>
      <c r="N48" s="90">
        <f>SUM(N49:N56)</f>
        <v>0</v>
      </c>
      <c r="O48" s="90">
        <f>SUM(O49:O56)</f>
        <v>29071</v>
      </c>
      <c r="P48" s="90">
        <f>SUM(P49:P56)</f>
        <v>18318</v>
      </c>
      <c r="Q48" s="90">
        <f>SUM(Q49:Q56)</f>
        <v>47389</v>
      </c>
    </row>
    <row r="49" spans="1:17" s="26" customFormat="1" ht="19.5" customHeight="1">
      <c r="A49" s="66"/>
      <c r="B49" s="84"/>
      <c r="C49" s="68">
        <v>3020</v>
      </c>
      <c r="D49" s="41" t="s">
        <v>190</v>
      </c>
      <c r="E49" s="90"/>
      <c r="F49" s="90"/>
      <c r="G49" s="90">
        <v>0</v>
      </c>
      <c r="H49" s="90">
        <v>17600</v>
      </c>
      <c r="I49" s="90">
        <f>SUM(G49:H49)</f>
        <v>17600</v>
      </c>
      <c r="J49" s="90">
        <v>8998</v>
      </c>
      <c r="K49" s="90">
        <f>SUM(I49:J49)</f>
        <v>26598</v>
      </c>
      <c r="L49" s="90">
        <v>0</v>
      </c>
      <c r="M49" s="90">
        <f>SUM(K49:L49)</f>
        <v>26598</v>
      </c>
      <c r="N49" s="90">
        <v>0</v>
      </c>
      <c r="O49" s="90">
        <f aca="true" t="shared" si="24" ref="O49:O56">SUM(M49:N49)</f>
        <v>26598</v>
      </c>
      <c r="P49" s="90">
        <v>0</v>
      </c>
      <c r="Q49" s="90">
        <f aca="true" t="shared" si="25" ref="Q49:Q56">SUM(O49:P49)</f>
        <v>26598</v>
      </c>
    </row>
    <row r="50" spans="1:17" s="26" customFormat="1" ht="25.5" customHeight="1">
      <c r="A50" s="66"/>
      <c r="B50" s="84"/>
      <c r="C50" s="68">
        <v>3040</v>
      </c>
      <c r="D50" s="41" t="s">
        <v>469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>
        <v>0</v>
      </c>
      <c r="P50" s="90">
        <v>16201</v>
      </c>
      <c r="Q50" s="90">
        <f t="shared" si="25"/>
        <v>16201</v>
      </c>
    </row>
    <row r="51" spans="1:17" s="26" customFormat="1" ht="19.5" customHeight="1">
      <c r="A51" s="66"/>
      <c r="B51" s="84"/>
      <c r="C51" s="68">
        <v>4110</v>
      </c>
      <c r="D51" s="41" t="s">
        <v>283</v>
      </c>
      <c r="E51" s="90"/>
      <c r="F51" s="90"/>
      <c r="G51" s="90">
        <v>0</v>
      </c>
      <c r="H51" s="90">
        <v>3655</v>
      </c>
      <c r="I51" s="90">
        <f>SUM(G51:H51)</f>
        <v>3655</v>
      </c>
      <c r="J51" s="90">
        <v>-3464</v>
      </c>
      <c r="K51" s="90">
        <f>SUM(I51:J51)</f>
        <v>191</v>
      </c>
      <c r="L51" s="90">
        <v>0</v>
      </c>
      <c r="M51" s="90">
        <f>SUM(K51:L51)</f>
        <v>191</v>
      </c>
      <c r="N51" s="90">
        <v>0</v>
      </c>
      <c r="O51" s="90">
        <f t="shared" si="24"/>
        <v>191</v>
      </c>
      <c r="P51" s="90">
        <v>274</v>
      </c>
      <c r="Q51" s="90">
        <f t="shared" si="25"/>
        <v>465</v>
      </c>
    </row>
    <row r="52" spans="1:17" s="26" customFormat="1" ht="19.5" customHeight="1">
      <c r="A52" s="66"/>
      <c r="B52" s="84"/>
      <c r="C52" s="68">
        <v>4120</v>
      </c>
      <c r="D52" s="41" t="s">
        <v>85</v>
      </c>
      <c r="E52" s="90"/>
      <c r="F52" s="90"/>
      <c r="G52" s="90">
        <v>0</v>
      </c>
      <c r="H52" s="90">
        <v>561</v>
      </c>
      <c r="I52" s="90">
        <f>SUM(G52:H52)</f>
        <v>561</v>
      </c>
      <c r="J52" s="90">
        <v>-530</v>
      </c>
      <c r="K52" s="90">
        <f>SUM(I52:J52)</f>
        <v>31</v>
      </c>
      <c r="L52" s="90">
        <v>0</v>
      </c>
      <c r="M52" s="90">
        <f>SUM(K52:L52)</f>
        <v>31</v>
      </c>
      <c r="N52" s="90">
        <v>0</v>
      </c>
      <c r="O52" s="90">
        <f t="shared" si="24"/>
        <v>31</v>
      </c>
      <c r="P52" s="90">
        <v>45</v>
      </c>
      <c r="Q52" s="90">
        <f t="shared" si="25"/>
        <v>76</v>
      </c>
    </row>
    <row r="53" spans="1:17" s="26" customFormat="1" ht="19.5" customHeight="1">
      <c r="A53" s="66"/>
      <c r="B53" s="84"/>
      <c r="C53" s="68">
        <v>4170</v>
      </c>
      <c r="D53" s="41" t="s">
        <v>193</v>
      </c>
      <c r="E53" s="90"/>
      <c r="F53" s="90"/>
      <c r="G53" s="90">
        <v>0</v>
      </c>
      <c r="H53" s="90">
        <v>6255</v>
      </c>
      <c r="I53" s="90">
        <f>SUM(G53:H53)</f>
        <v>6255</v>
      </c>
      <c r="J53" s="90">
        <v>-5004</v>
      </c>
      <c r="K53" s="90">
        <f>SUM(I53:J53)</f>
        <v>1251</v>
      </c>
      <c r="L53" s="90">
        <v>0</v>
      </c>
      <c r="M53" s="90">
        <f>SUM(K53:L53)</f>
        <v>1251</v>
      </c>
      <c r="N53" s="90">
        <v>0</v>
      </c>
      <c r="O53" s="90">
        <f t="shared" si="24"/>
        <v>1251</v>
      </c>
      <c r="P53" s="90">
        <v>1798</v>
      </c>
      <c r="Q53" s="90">
        <f t="shared" si="25"/>
        <v>3049</v>
      </c>
    </row>
    <row r="54" spans="1:17" s="26" customFormat="1" ht="19.5" customHeight="1">
      <c r="A54" s="66"/>
      <c r="B54" s="84"/>
      <c r="C54" s="68">
        <v>4210</v>
      </c>
      <c r="D54" s="41" t="s">
        <v>90</v>
      </c>
      <c r="E54" s="90"/>
      <c r="F54" s="90"/>
      <c r="G54" s="90">
        <v>0</v>
      </c>
      <c r="H54" s="90">
        <v>1000</v>
      </c>
      <c r="I54" s="90">
        <f>SUM(G54:H54)</f>
        <v>1000</v>
      </c>
      <c r="J54" s="90"/>
      <c r="K54" s="90">
        <f>SUM(I54:J54)</f>
        <v>1000</v>
      </c>
      <c r="L54" s="90">
        <v>0</v>
      </c>
      <c r="M54" s="90">
        <f>SUM(K54:L54)</f>
        <v>1000</v>
      </c>
      <c r="N54" s="90">
        <v>-1000</v>
      </c>
      <c r="O54" s="90">
        <f t="shared" si="24"/>
        <v>0</v>
      </c>
      <c r="P54" s="90"/>
      <c r="Q54" s="90">
        <f t="shared" si="25"/>
        <v>0</v>
      </c>
    </row>
    <row r="55" spans="1:17" s="26" customFormat="1" ht="33.75">
      <c r="A55" s="66"/>
      <c r="B55" s="84"/>
      <c r="C55" s="68">
        <v>4370</v>
      </c>
      <c r="D55" s="41" t="s">
        <v>294</v>
      </c>
      <c r="E55" s="90"/>
      <c r="F55" s="90"/>
      <c r="G55" s="90"/>
      <c r="H55" s="90"/>
      <c r="I55" s="90"/>
      <c r="J55" s="90"/>
      <c r="K55" s="90"/>
      <c r="L55" s="90"/>
      <c r="M55" s="90">
        <v>0</v>
      </c>
      <c r="N55" s="90">
        <v>129</v>
      </c>
      <c r="O55" s="90">
        <f t="shared" si="24"/>
        <v>129</v>
      </c>
      <c r="P55" s="90"/>
      <c r="Q55" s="90">
        <f t="shared" si="25"/>
        <v>129</v>
      </c>
    </row>
    <row r="56" spans="1:17" s="26" customFormat="1" ht="19.5" customHeight="1">
      <c r="A56" s="66"/>
      <c r="B56" s="84"/>
      <c r="C56" s="68">
        <v>4410</v>
      </c>
      <c r="D56" s="41" t="s">
        <v>88</v>
      </c>
      <c r="E56" s="90"/>
      <c r="F56" s="90"/>
      <c r="G56" s="90"/>
      <c r="H56" s="90"/>
      <c r="I56" s="90"/>
      <c r="J56" s="90"/>
      <c r="K56" s="90"/>
      <c r="L56" s="90"/>
      <c r="M56" s="90">
        <v>0</v>
      </c>
      <c r="N56" s="90">
        <v>871</v>
      </c>
      <c r="O56" s="90">
        <f t="shared" si="24"/>
        <v>871</v>
      </c>
      <c r="P56" s="90"/>
      <c r="Q56" s="90">
        <f t="shared" si="25"/>
        <v>871</v>
      </c>
    </row>
    <row r="57" spans="1:17" s="9" customFormat="1" ht="36">
      <c r="A57" s="36">
        <v>751</v>
      </c>
      <c r="B57" s="38"/>
      <c r="C57" s="63"/>
      <c r="D57" s="39" t="s">
        <v>96</v>
      </c>
      <c r="E57" s="64">
        <f aca="true" t="shared" si="26" ref="E57:K57">SUM(E58,E63)</f>
        <v>3850</v>
      </c>
      <c r="F57" s="64">
        <f t="shared" si="26"/>
        <v>46434</v>
      </c>
      <c r="G57" s="64">
        <f t="shared" si="26"/>
        <v>50284</v>
      </c>
      <c r="H57" s="64">
        <f t="shared" si="26"/>
        <v>0</v>
      </c>
      <c r="I57" s="64">
        <f t="shared" si="26"/>
        <v>50284</v>
      </c>
      <c r="J57" s="64">
        <f t="shared" si="26"/>
        <v>0</v>
      </c>
      <c r="K57" s="64">
        <f t="shared" si="26"/>
        <v>50284</v>
      </c>
      <c r="L57" s="64">
        <f aca="true" t="shared" si="27" ref="L57:Q57">SUM(L58,L63)</f>
        <v>0</v>
      </c>
      <c r="M57" s="64">
        <f t="shared" si="27"/>
        <v>50284</v>
      </c>
      <c r="N57" s="64">
        <f t="shared" si="27"/>
        <v>0</v>
      </c>
      <c r="O57" s="64">
        <f t="shared" si="27"/>
        <v>50284</v>
      </c>
      <c r="P57" s="64">
        <f t="shared" si="27"/>
        <v>0</v>
      </c>
      <c r="Q57" s="64">
        <f t="shared" si="27"/>
        <v>50284</v>
      </c>
    </row>
    <row r="58" spans="1:17" s="26" customFormat="1" ht="30" customHeight="1">
      <c r="A58" s="84"/>
      <c r="B58" s="66">
        <v>75101</v>
      </c>
      <c r="C58" s="67"/>
      <c r="D58" s="41" t="s">
        <v>21</v>
      </c>
      <c r="E58" s="92">
        <f aca="true" t="shared" si="28" ref="E58:K58">SUM(E59:E62)</f>
        <v>3850</v>
      </c>
      <c r="F58" s="92">
        <f t="shared" si="28"/>
        <v>0</v>
      </c>
      <c r="G58" s="92">
        <f t="shared" si="28"/>
        <v>3850</v>
      </c>
      <c r="H58" s="92">
        <f t="shared" si="28"/>
        <v>0</v>
      </c>
      <c r="I58" s="92">
        <f t="shared" si="28"/>
        <v>3850</v>
      </c>
      <c r="J58" s="92">
        <f t="shared" si="28"/>
        <v>0</v>
      </c>
      <c r="K58" s="92">
        <f t="shared" si="28"/>
        <v>3850</v>
      </c>
      <c r="L58" s="92">
        <f aca="true" t="shared" si="29" ref="L58:Q58">SUM(L59:L62)</f>
        <v>0</v>
      </c>
      <c r="M58" s="92">
        <f t="shared" si="29"/>
        <v>3850</v>
      </c>
      <c r="N58" s="92">
        <f t="shared" si="29"/>
        <v>0</v>
      </c>
      <c r="O58" s="92">
        <f t="shared" si="29"/>
        <v>3850</v>
      </c>
      <c r="P58" s="92">
        <f t="shared" si="29"/>
        <v>0</v>
      </c>
      <c r="Q58" s="92">
        <f t="shared" si="29"/>
        <v>3850</v>
      </c>
    </row>
    <row r="59" spans="1:17" s="26" customFormat="1" ht="19.5" customHeight="1">
      <c r="A59" s="84"/>
      <c r="B59" s="66"/>
      <c r="C59" s="66">
        <v>4010</v>
      </c>
      <c r="D59" s="41" t="s">
        <v>82</v>
      </c>
      <c r="E59" s="90">
        <v>2845</v>
      </c>
      <c r="F59" s="90"/>
      <c r="G59" s="90">
        <f>SUM(E59:F59)</f>
        <v>2845</v>
      </c>
      <c r="H59" s="90">
        <v>0</v>
      </c>
      <c r="I59" s="90">
        <f>SUM(G59:H59)</f>
        <v>2845</v>
      </c>
      <c r="J59" s="90">
        <v>0</v>
      </c>
      <c r="K59" s="90">
        <f>SUM(I59:J59)</f>
        <v>2845</v>
      </c>
      <c r="L59" s="90">
        <v>0</v>
      </c>
      <c r="M59" s="90">
        <f>SUM(K59:L59)</f>
        <v>2845</v>
      </c>
      <c r="N59" s="90">
        <v>0</v>
      </c>
      <c r="O59" s="90">
        <f>SUM(M59:N59)</f>
        <v>2845</v>
      </c>
      <c r="P59" s="90">
        <v>0</v>
      </c>
      <c r="Q59" s="90">
        <f>SUM(O59:P59)</f>
        <v>2845</v>
      </c>
    </row>
    <row r="60" spans="1:17" s="26" customFormat="1" ht="19.5" customHeight="1">
      <c r="A60" s="84"/>
      <c r="B60" s="66"/>
      <c r="C60" s="66">
        <v>4110</v>
      </c>
      <c r="D60" s="41" t="s">
        <v>283</v>
      </c>
      <c r="E60" s="90">
        <v>435</v>
      </c>
      <c r="F60" s="90"/>
      <c r="G60" s="90">
        <f>SUM(E60:F60)</f>
        <v>435</v>
      </c>
      <c r="H60" s="90">
        <v>0</v>
      </c>
      <c r="I60" s="90">
        <f>SUM(G60:H60)</f>
        <v>435</v>
      </c>
      <c r="J60" s="90">
        <v>0</v>
      </c>
      <c r="K60" s="90">
        <f>SUM(I60:J60)</f>
        <v>435</v>
      </c>
      <c r="L60" s="90">
        <v>0</v>
      </c>
      <c r="M60" s="90">
        <f>SUM(K60:L60)</f>
        <v>435</v>
      </c>
      <c r="N60" s="90">
        <v>0</v>
      </c>
      <c r="O60" s="90">
        <f>SUM(M60:N60)</f>
        <v>435</v>
      </c>
      <c r="P60" s="90">
        <v>0</v>
      </c>
      <c r="Q60" s="90">
        <f>SUM(O60:P60)</f>
        <v>435</v>
      </c>
    </row>
    <row r="61" spans="1:17" s="26" customFormat="1" ht="19.5" customHeight="1">
      <c r="A61" s="84"/>
      <c r="B61" s="66"/>
      <c r="C61" s="66">
        <v>4120</v>
      </c>
      <c r="D61" s="41" t="s">
        <v>85</v>
      </c>
      <c r="E61" s="90">
        <v>70</v>
      </c>
      <c r="F61" s="90"/>
      <c r="G61" s="90">
        <f>SUM(E61:F61)</f>
        <v>70</v>
      </c>
      <c r="H61" s="90">
        <v>0</v>
      </c>
      <c r="I61" s="90">
        <f>SUM(G61:H61)</f>
        <v>70</v>
      </c>
      <c r="J61" s="90">
        <v>0</v>
      </c>
      <c r="K61" s="90">
        <f>SUM(I61:J61)</f>
        <v>70</v>
      </c>
      <c r="L61" s="90">
        <v>0</v>
      </c>
      <c r="M61" s="90">
        <f>SUM(K61:L61)</f>
        <v>70</v>
      </c>
      <c r="N61" s="90">
        <v>0</v>
      </c>
      <c r="O61" s="90">
        <f>SUM(M61:N61)</f>
        <v>70</v>
      </c>
      <c r="P61" s="90">
        <v>0</v>
      </c>
      <c r="Q61" s="90">
        <f>SUM(O61:P61)</f>
        <v>70</v>
      </c>
    </row>
    <row r="62" spans="1:17" s="26" customFormat="1" ht="19.5" customHeight="1">
      <c r="A62" s="84"/>
      <c r="B62" s="66"/>
      <c r="C62" s="68">
        <v>4300</v>
      </c>
      <c r="D62" s="41" t="s">
        <v>77</v>
      </c>
      <c r="E62" s="90">
        <v>500</v>
      </c>
      <c r="F62" s="90"/>
      <c r="G62" s="90">
        <f>SUM(E62:F62)</f>
        <v>500</v>
      </c>
      <c r="H62" s="90">
        <v>0</v>
      </c>
      <c r="I62" s="90">
        <f>SUM(G62:H62)</f>
        <v>500</v>
      </c>
      <c r="J62" s="90">
        <v>0</v>
      </c>
      <c r="K62" s="90">
        <f>SUM(I62:J62)</f>
        <v>500</v>
      </c>
      <c r="L62" s="90">
        <v>0</v>
      </c>
      <c r="M62" s="90">
        <f>SUM(K62:L62)</f>
        <v>500</v>
      </c>
      <c r="N62" s="90">
        <v>0</v>
      </c>
      <c r="O62" s="90">
        <f>SUM(M62:N62)</f>
        <v>500</v>
      </c>
      <c r="P62" s="90">
        <v>0</v>
      </c>
      <c r="Q62" s="90">
        <f>SUM(O62:P62)</f>
        <v>500</v>
      </c>
    </row>
    <row r="63" spans="1:17" s="26" customFormat="1" ht="19.5" customHeight="1">
      <c r="A63" s="84"/>
      <c r="B63" s="66">
        <v>75108</v>
      </c>
      <c r="C63" s="68"/>
      <c r="D63" s="41" t="s">
        <v>338</v>
      </c>
      <c r="E63" s="90">
        <f aca="true" t="shared" si="30" ref="E63:K63">SUM(E64:E71)</f>
        <v>0</v>
      </c>
      <c r="F63" s="90">
        <f t="shared" si="30"/>
        <v>46434</v>
      </c>
      <c r="G63" s="90">
        <f t="shared" si="30"/>
        <v>46434</v>
      </c>
      <c r="H63" s="90">
        <f t="shared" si="30"/>
        <v>0</v>
      </c>
      <c r="I63" s="90">
        <f t="shared" si="30"/>
        <v>46434</v>
      </c>
      <c r="J63" s="90">
        <f t="shared" si="30"/>
        <v>0</v>
      </c>
      <c r="K63" s="90">
        <f t="shared" si="30"/>
        <v>46434</v>
      </c>
      <c r="L63" s="90">
        <f aca="true" t="shared" si="31" ref="L63:Q63">SUM(L64:L71)</f>
        <v>0</v>
      </c>
      <c r="M63" s="90">
        <f t="shared" si="31"/>
        <v>46434</v>
      </c>
      <c r="N63" s="90">
        <f t="shared" si="31"/>
        <v>0</v>
      </c>
      <c r="O63" s="90">
        <f t="shared" si="31"/>
        <v>46434</v>
      </c>
      <c r="P63" s="90">
        <f t="shared" si="31"/>
        <v>0</v>
      </c>
      <c r="Q63" s="90">
        <f t="shared" si="31"/>
        <v>46434</v>
      </c>
    </row>
    <row r="64" spans="1:17" s="26" customFormat="1" ht="19.5" customHeight="1">
      <c r="A64" s="84"/>
      <c r="B64" s="66"/>
      <c r="C64" s="84">
        <v>3030</v>
      </c>
      <c r="D64" s="41" t="s">
        <v>87</v>
      </c>
      <c r="E64" s="90">
        <v>0</v>
      </c>
      <c r="F64" s="90">
        <v>27540</v>
      </c>
      <c r="G64" s="90">
        <f aca="true" t="shared" si="32" ref="G64:G71">SUM(E64:F64)</f>
        <v>27540</v>
      </c>
      <c r="H64" s="90">
        <v>0</v>
      </c>
      <c r="I64" s="90">
        <f aca="true" t="shared" si="33" ref="I64:I71">SUM(G64:H64)</f>
        <v>27540</v>
      </c>
      <c r="J64" s="90">
        <v>0</v>
      </c>
      <c r="K64" s="90">
        <f aca="true" t="shared" si="34" ref="K64:K71">SUM(I64:J64)</f>
        <v>27540</v>
      </c>
      <c r="L64" s="90">
        <v>0</v>
      </c>
      <c r="M64" s="90">
        <f aca="true" t="shared" si="35" ref="M64:M71">SUM(K64:L64)</f>
        <v>27540</v>
      </c>
      <c r="N64" s="90">
        <v>0</v>
      </c>
      <c r="O64" s="90">
        <f aca="true" t="shared" si="36" ref="O64:O71">SUM(M64:N64)</f>
        <v>27540</v>
      </c>
      <c r="P64" s="90">
        <v>0</v>
      </c>
      <c r="Q64" s="90">
        <f aca="true" t="shared" si="37" ref="Q64:Q71">SUM(O64:P64)</f>
        <v>27540</v>
      </c>
    </row>
    <row r="65" spans="1:17" s="26" customFormat="1" ht="19.5" customHeight="1">
      <c r="A65" s="84"/>
      <c r="B65" s="66"/>
      <c r="C65" s="84">
        <v>4110</v>
      </c>
      <c r="D65" s="41" t="s">
        <v>84</v>
      </c>
      <c r="E65" s="90">
        <v>0</v>
      </c>
      <c r="F65" s="90">
        <v>936</v>
      </c>
      <c r="G65" s="90">
        <f t="shared" si="32"/>
        <v>936</v>
      </c>
      <c r="H65" s="90">
        <v>0</v>
      </c>
      <c r="I65" s="90">
        <f t="shared" si="33"/>
        <v>936</v>
      </c>
      <c r="J65" s="90">
        <v>0</v>
      </c>
      <c r="K65" s="90">
        <f t="shared" si="34"/>
        <v>936</v>
      </c>
      <c r="L65" s="90">
        <v>0</v>
      </c>
      <c r="M65" s="90">
        <f t="shared" si="35"/>
        <v>936</v>
      </c>
      <c r="N65" s="90">
        <v>0</v>
      </c>
      <c r="O65" s="90">
        <f t="shared" si="36"/>
        <v>936</v>
      </c>
      <c r="P65" s="90">
        <v>0</v>
      </c>
      <c r="Q65" s="90">
        <f t="shared" si="37"/>
        <v>936</v>
      </c>
    </row>
    <row r="66" spans="1:17" s="26" customFormat="1" ht="19.5" customHeight="1">
      <c r="A66" s="84"/>
      <c r="B66" s="66"/>
      <c r="C66" s="84">
        <v>4120</v>
      </c>
      <c r="D66" s="41" t="s">
        <v>85</v>
      </c>
      <c r="E66" s="90">
        <v>0</v>
      </c>
      <c r="F66" s="90">
        <v>151</v>
      </c>
      <c r="G66" s="90">
        <f t="shared" si="32"/>
        <v>151</v>
      </c>
      <c r="H66" s="90">
        <v>0</v>
      </c>
      <c r="I66" s="90">
        <f t="shared" si="33"/>
        <v>151</v>
      </c>
      <c r="J66" s="90">
        <v>0</v>
      </c>
      <c r="K66" s="90">
        <f t="shared" si="34"/>
        <v>151</v>
      </c>
      <c r="L66" s="90">
        <v>0</v>
      </c>
      <c r="M66" s="90">
        <f t="shared" si="35"/>
        <v>151</v>
      </c>
      <c r="N66" s="90">
        <v>0</v>
      </c>
      <c r="O66" s="90">
        <f t="shared" si="36"/>
        <v>151</v>
      </c>
      <c r="P66" s="90">
        <v>0</v>
      </c>
      <c r="Q66" s="90">
        <f t="shared" si="37"/>
        <v>151</v>
      </c>
    </row>
    <row r="67" spans="1:17" s="26" customFormat="1" ht="19.5" customHeight="1">
      <c r="A67" s="84"/>
      <c r="B67" s="66"/>
      <c r="C67" s="84">
        <v>4170</v>
      </c>
      <c r="D67" s="41" t="s">
        <v>193</v>
      </c>
      <c r="E67" s="90">
        <v>0</v>
      </c>
      <c r="F67" s="90">
        <v>8390</v>
      </c>
      <c r="G67" s="90">
        <f t="shared" si="32"/>
        <v>8390</v>
      </c>
      <c r="H67" s="90">
        <v>0</v>
      </c>
      <c r="I67" s="90">
        <f t="shared" si="33"/>
        <v>8390</v>
      </c>
      <c r="J67" s="90">
        <v>0</v>
      </c>
      <c r="K67" s="90">
        <f t="shared" si="34"/>
        <v>8390</v>
      </c>
      <c r="L67" s="90">
        <v>0</v>
      </c>
      <c r="M67" s="90">
        <f t="shared" si="35"/>
        <v>8390</v>
      </c>
      <c r="N67" s="90">
        <v>0</v>
      </c>
      <c r="O67" s="90">
        <f t="shared" si="36"/>
        <v>8390</v>
      </c>
      <c r="P67" s="90">
        <v>0</v>
      </c>
      <c r="Q67" s="90">
        <f t="shared" si="37"/>
        <v>8390</v>
      </c>
    </row>
    <row r="68" spans="1:17" s="26" customFormat="1" ht="19.5" customHeight="1">
      <c r="A68" s="84"/>
      <c r="B68" s="66"/>
      <c r="C68" s="84">
        <v>4210</v>
      </c>
      <c r="D68" s="41" t="s">
        <v>90</v>
      </c>
      <c r="E68" s="90">
        <v>0</v>
      </c>
      <c r="F68" s="90">
        <v>6460</v>
      </c>
      <c r="G68" s="90">
        <f t="shared" si="32"/>
        <v>6460</v>
      </c>
      <c r="H68" s="90">
        <v>0</v>
      </c>
      <c r="I68" s="90">
        <f t="shared" si="33"/>
        <v>6460</v>
      </c>
      <c r="J68" s="90">
        <v>0</v>
      </c>
      <c r="K68" s="90">
        <f t="shared" si="34"/>
        <v>6460</v>
      </c>
      <c r="L68" s="90">
        <v>0</v>
      </c>
      <c r="M68" s="90">
        <f t="shared" si="35"/>
        <v>6460</v>
      </c>
      <c r="N68" s="90">
        <v>0</v>
      </c>
      <c r="O68" s="90">
        <f t="shared" si="36"/>
        <v>6460</v>
      </c>
      <c r="P68" s="90">
        <v>0</v>
      </c>
      <c r="Q68" s="90">
        <f t="shared" si="37"/>
        <v>6460</v>
      </c>
    </row>
    <row r="69" spans="1:17" s="26" customFormat="1" ht="19.5" customHeight="1">
      <c r="A69" s="84"/>
      <c r="B69" s="66"/>
      <c r="C69" s="84">
        <v>4300</v>
      </c>
      <c r="D69" s="41" t="s">
        <v>77</v>
      </c>
      <c r="E69" s="90">
        <v>0</v>
      </c>
      <c r="F69" s="90">
        <v>1147</v>
      </c>
      <c r="G69" s="90">
        <f t="shared" si="32"/>
        <v>1147</v>
      </c>
      <c r="H69" s="90">
        <v>0</v>
      </c>
      <c r="I69" s="90">
        <f t="shared" si="33"/>
        <v>1147</v>
      </c>
      <c r="J69" s="90">
        <v>0</v>
      </c>
      <c r="K69" s="90">
        <f t="shared" si="34"/>
        <v>1147</v>
      </c>
      <c r="L69" s="90">
        <v>0</v>
      </c>
      <c r="M69" s="90">
        <f t="shared" si="35"/>
        <v>1147</v>
      </c>
      <c r="N69" s="90">
        <v>0</v>
      </c>
      <c r="O69" s="90">
        <f t="shared" si="36"/>
        <v>1147</v>
      </c>
      <c r="P69" s="90">
        <v>0</v>
      </c>
      <c r="Q69" s="90">
        <f t="shared" si="37"/>
        <v>1147</v>
      </c>
    </row>
    <row r="70" spans="1:17" s="26" customFormat="1" ht="19.5" customHeight="1">
      <c r="A70" s="84"/>
      <c r="B70" s="66"/>
      <c r="C70" s="84">
        <v>4410</v>
      </c>
      <c r="D70" s="41" t="s">
        <v>88</v>
      </c>
      <c r="E70" s="90">
        <v>0</v>
      </c>
      <c r="F70" s="90">
        <v>1800</v>
      </c>
      <c r="G70" s="90">
        <f t="shared" si="32"/>
        <v>1800</v>
      </c>
      <c r="H70" s="90">
        <v>0</v>
      </c>
      <c r="I70" s="90">
        <f t="shared" si="33"/>
        <v>1800</v>
      </c>
      <c r="J70" s="90">
        <v>0</v>
      </c>
      <c r="K70" s="90">
        <f t="shared" si="34"/>
        <v>1800</v>
      </c>
      <c r="L70" s="90">
        <v>0</v>
      </c>
      <c r="M70" s="90">
        <f t="shared" si="35"/>
        <v>1800</v>
      </c>
      <c r="N70" s="90">
        <v>0</v>
      </c>
      <c r="O70" s="90">
        <f t="shared" si="36"/>
        <v>1800</v>
      </c>
      <c r="P70" s="90">
        <v>0</v>
      </c>
      <c r="Q70" s="90">
        <f t="shared" si="37"/>
        <v>1800</v>
      </c>
    </row>
    <row r="71" spans="1:17" s="26" customFormat="1" ht="19.5" customHeight="1">
      <c r="A71" s="84"/>
      <c r="B71" s="66"/>
      <c r="C71" s="84">
        <v>4780</v>
      </c>
      <c r="D71" s="41" t="s">
        <v>318</v>
      </c>
      <c r="E71" s="90">
        <v>0</v>
      </c>
      <c r="F71" s="90">
        <v>10</v>
      </c>
      <c r="G71" s="90">
        <f t="shared" si="32"/>
        <v>10</v>
      </c>
      <c r="H71" s="90">
        <v>0</v>
      </c>
      <c r="I71" s="90">
        <f t="shared" si="33"/>
        <v>10</v>
      </c>
      <c r="J71" s="90">
        <v>0</v>
      </c>
      <c r="K71" s="90">
        <f t="shared" si="34"/>
        <v>10</v>
      </c>
      <c r="L71" s="90">
        <v>0</v>
      </c>
      <c r="M71" s="90">
        <f t="shared" si="35"/>
        <v>10</v>
      </c>
      <c r="N71" s="90">
        <v>0</v>
      </c>
      <c r="O71" s="90">
        <f t="shared" si="36"/>
        <v>10</v>
      </c>
      <c r="P71" s="90">
        <v>0</v>
      </c>
      <c r="Q71" s="90">
        <f t="shared" si="37"/>
        <v>10</v>
      </c>
    </row>
    <row r="72" spans="1:17" s="42" customFormat="1" ht="21.75" customHeight="1">
      <c r="A72" s="36" t="s">
        <v>152</v>
      </c>
      <c r="B72" s="38"/>
      <c r="C72" s="63"/>
      <c r="D72" s="39" t="s">
        <v>184</v>
      </c>
      <c r="E72" s="62">
        <f>SUM(E73,E80)</f>
        <v>6943861</v>
      </c>
      <c r="F72" s="62">
        <f>SUM(F73,F80)</f>
        <v>0</v>
      </c>
      <c r="G72" s="62">
        <f aca="true" t="shared" si="38" ref="G72:M72">SUM(G73,G80,G82)</f>
        <v>6943861</v>
      </c>
      <c r="H72" s="62">
        <f t="shared" si="38"/>
        <v>3280</v>
      </c>
      <c r="I72" s="62">
        <f t="shared" si="38"/>
        <v>6947141</v>
      </c>
      <c r="J72" s="62">
        <f t="shared" si="38"/>
        <v>0</v>
      </c>
      <c r="K72" s="62">
        <f t="shared" si="38"/>
        <v>6947141</v>
      </c>
      <c r="L72" s="62">
        <f t="shared" si="38"/>
        <v>9932</v>
      </c>
      <c r="M72" s="62">
        <f t="shared" si="38"/>
        <v>6957073</v>
      </c>
      <c r="N72" s="62">
        <f>SUM(N73,N80,N82)</f>
        <v>6000</v>
      </c>
      <c r="O72" s="62">
        <f>SUM(O73,O80,O82)</f>
        <v>6963073</v>
      </c>
      <c r="P72" s="62">
        <f>SUM(P73,P80,P82)</f>
        <v>3000</v>
      </c>
      <c r="Q72" s="62">
        <f>SUM(Q73,Q80,Q82)</f>
        <v>6966073</v>
      </c>
    </row>
    <row r="73" spans="1:17" s="26" customFormat="1" ht="45">
      <c r="A73" s="66"/>
      <c r="B73" s="50">
        <v>85212</v>
      </c>
      <c r="C73" s="77"/>
      <c r="D73" s="75" t="s">
        <v>261</v>
      </c>
      <c r="E73" s="89">
        <f aca="true" t="shared" si="39" ref="E73:K73">SUM(E74:E79)</f>
        <v>6927793</v>
      </c>
      <c r="F73" s="89">
        <f t="shared" si="39"/>
        <v>0</v>
      </c>
      <c r="G73" s="89">
        <f t="shared" si="39"/>
        <v>6927793</v>
      </c>
      <c r="H73" s="89">
        <f t="shared" si="39"/>
        <v>0</v>
      </c>
      <c r="I73" s="89">
        <f t="shared" si="39"/>
        <v>6927793</v>
      </c>
      <c r="J73" s="89">
        <f t="shared" si="39"/>
        <v>0</v>
      </c>
      <c r="K73" s="89">
        <f t="shared" si="39"/>
        <v>6927793</v>
      </c>
      <c r="L73" s="89">
        <f aca="true" t="shared" si="40" ref="L73:Q73">SUM(L74:L79)</f>
        <v>0</v>
      </c>
      <c r="M73" s="89">
        <f t="shared" si="40"/>
        <v>6927793</v>
      </c>
      <c r="N73" s="89">
        <f t="shared" si="40"/>
        <v>0</v>
      </c>
      <c r="O73" s="89">
        <f t="shared" si="40"/>
        <v>6927793</v>
      </c>
      <c r="P73" s="89">
        <f t="shared" si="40"/>
        <v>0</v>
      </c>
      <c r="Q73" s="89">
        <f t="shared" si="40"/>
        <v>6927793</v>
      </c>
    </row>
    <row r="74" spans="1:17" s="26" customFormat="1" ht="19.5" customHeight="1">
      <c r="A74" s="66"/>
      <c r="B74" s="50"/>
      <c r="C74" s="77">
        <v>3110</v>
      </c>
      <c r="D74" s="65" t="s">
        <v>110</v>
      </c>
      <c r="E74" s="90">
        <v>6669960</v>
      </c>
      <c r="F74" s="90"/>
      <c r="G74" s="90">
        <f aca="true" t="shared" si="41" ref="G74:G79">SUM(E74:F74)</f>
        <v>6669960</v>
      </c>
      <c r="H74" s="90">
        <v>0</v>
      </c>
      <c r="I74" s="90">
        <f aca="true" t="shared" si="42" ref="I74:I79">SUM(G74:H74)</f>
        <v>6669960</v>
      </c>
      <c r="J74" s="90">
        <v>0</v>
      </c>
      <c r="K74" s="90">
        <f aca="true" t="shared" si="43" ref="K74:K79">SUM(I74:J74)</f>
        <v>6669960</v>
      </c>
      <c r="L74" s="90">
        <v>0</v>
      </c>
      <c r="M74" s="90">
        <f aca="true" t="shared" si="44" ref="M74:M79">SUM(K74:L74)</f>
        <v>6669960</v>
      </c>
      <c r="N74" s="90">
        <v>-60000</v>
      </c>
      <c r="O74" s="90">
        <f aca="true" t="shared" si="45" ref="O74:O79">SUM(M74:N74)</f>
        <v>6609960</v>
      </c>
      <c r="P74" s="90"/>
      <c r="Q74" s="90">
        <f aca="true" t="shared" si="46" ref="Q74:Q79">SUM(O74:P74)</f>
        <v>6609960</v>
      </c>
    </row>
    <row r="75" spans="1:17" s="26" customFormat="1" ht="19.5" customHeight="1">
      <c r="A75" s="66"/>
      <c r="B75" s="50"/>
      <c r="C75" s="77">
        <v>4010</v>
      </c>
      <c r="D75" s="41" t="s">
        <v>82</v>
      </c>
      <c r="E75" s="90">
        <v>158033</v>
      </c>
      <c r="F75" s="90"/>
      <c r="G75" s="90">
        <f t="shared" si="41"/>
        <v>158033</v>
      </c>
      <c r="H75" s="90">
        <v>0</v>
      </c>
      <c r="I75" s="90">
        <f t="shared" si="42"/>
        <v>158033</v>
      </c>
      <c r="J75" s="90">
        <v>0</v>
      </c>
      <c r="K75" s="90">
        <f t="shared" si="43"/>
        <v>158033</v>
      </c>
      <c r="L75" s="90">
        <v>0</v>
      </c>
      <c r="M75" s="90">
        <f t="shared" si="44"/>
        <v>158033</v>
      </c>
      <c r="N75" s="90">
        <v>690</v>
      </c>
      <c r="O75" s="90">
        <f t="shared" si="45"/>
        <v>158723</v>
      </c>
      <c r="P75" s="90"/>
      <c r="Q75" s="90">
        <f t="shared" si="46"/>
        <v>158723</v>
      </c>
    </row>
    <row r="76" spans="1:17" s="26" customFormat="1" ht="19.5" customHeight="1">
      <c r="A76" s="66"/>
      <c r="B76" s="50"/>
      <c r="C76" s="77">
        <v>4040</v>
      </c>
      <c r="D76" s="41" t="s">
        <v>83</v>
      </c>
      <c r="E76" s="90">
        <v>14100</v>
      </c>
      <c r="F76" s="90"/>
      <c r="G76" s="90">
        <f t="shared" si="41"/>
        <v>14100</v>
      </c>
      <c r="H76" s="90">
        <v>0</v>
      </c>
      <c r="I76" s="90">
        <f t="shared" si="42"/>
        <v>14100</v>
      </c>
      <c r="J76" s="90">
        <v>0</v>
      </c>
      <c r="K76" s="90">
        <f t="shared" si="43"/>
        <v>14100</v>
      </c>
      <c r="L76" s="90">
        <v>0</v>
      </c>
      <c r="M76" s="90">
        <f t="shared" si="44"/>
        <v>14100</v>
      </c>
      <c r="N76" s="90">
        <v>-690</v>
      </c>
      <c r="O76" s="90">
        <f t="shared" si="45"/>
        <v>13410</v>
      </c>
      <c r="P76" s="90"/>
      <c r="Q76" s="90">
        <f t="shared" si="46"/>
        <v>13410</v>
      </c>
    </row>
    <row r="77" spans="1:17" s="26" customFormat="1" ht="19.5" customHeight="1">
      <c r="A77" s="66"/>
      <c r="B77" s="50"/>
      <c r="C77" s="77">
        <v>4110</v>
      </c>
      <c r="D77" s="41" t="s">
        <v>283</v>
      </c>
      <c r="E77" s="90">
        <f>50000+26000</f>
        <v>76000</v>
      </c>
      <c r="F77" s="90"/>
      <c r="G77" s="90">
        <f t="shared" si="41"/>
        <v>76000</v>
      </c>
      <c r="H77" s="90">
        <v>0</v>
      </c>
      <c r="I77" s="90">
        <f t="shared" si="42"/>
        <v>76000</v>
      </c>
      <c r="J77" s="90">
        <v>0</v>
      </c>
      <c r="K77" s="90">
        <f t="shared" si="43"/>
        <v>76000</v>
      </c>
      <c r="L77" s="90">
        <v>0</v>
      </c>
      <c r="M77" s="90">
        <f t="shared" si="44"/>
        <v>76000</v>
      </c>
      <c r="N77" s="90">
        <v>60000</v>
      </c>
      <c r="O77" s="90">
        <f t="shared" si="45"/>
        <v>136000</v>
      </c>
      <c r="P77" s="90"/>
      <c r="Q77" s="90">
        <f t="shared" si="46"/>
        <v>136000</v>
      </c>
    </row>
    <row r="78" spans="1:17" s="26" customFormat="1" ht="19.5" customHeight="1">
      <c r="A78" s="66"/>
      <c r="B78" s="50"/>
      <c r="C78" s="77">
        <v>4120</v>
      </c>
      <c r="D78" s="41" t="s">
        <v>85</v>
      </c>
      <c r="E78" s="90">
        <v>4200</v>
      </c>
      <c r="F78" s="90"/>
      <c r="G78" s="90">
        <f t="shared" si="41"/>
        <v>4200</v>
      </c>
      <c r="H78" s="90">
        <v>0</v>
      </c>
      <c r="I78" s="90">
        <f t="shared" si="42"/>
        <v>4200</v>
      </c>
      <c r="J78" s="90">
        <v>0</v>
      </c>
      <c r="K78" s="90">
        <f t="shared" si="43"/>
        <v>4200</v>
      </c>
      <c r="L78" s="90">
        <v>0</v>
      </c>
      <c r="M78" s="90">
        <f t="shared" si="44"/>
        <v>4200</v>
      </c>
      <c r="N78" s="90">
        <v>0</v>
      </c>
      <c r="O78" s="90">
        <f t="shared" si="45"/>
        <v>4200</v>
      </c>
      <c r="P78" s="90">
        <v>0</v>
      </c>
      <c r="Q78" s="90">
        <f t="shared" si="46"/>
        <v>4200</v>
      </c>
    </row>
    <row r="79" spans="1:17" s="26" customFormat="1" ht="27.75" customHeight="1">
      <c r="A79" s="66"/>
      <c r="B79" s="50"/>
      <c r="C79" s="77">
        <v>4440</v>
      </c>
      <c r="D79" s="41" t="s">
        <v>86</v>
      </c>
      <c r="E79" s="90">
        <v>5500</v>
      </c>
      <c r="F79" s="90"/>
      <c r="G79" s="90">
        <f t="shared" si="41"/>
        <v>5500</v>
      </c>
      <c r="H79" s="90">
        <v>0</v>
      </c>
      <c r="I79" s="90">
        <f t="shared" si="42"/>
        <v>5500</v>
      </c>
      <c r="J79" s="90">
        <v>0</v>
      </c>
      <c r="K79" s="90">
        <f t="shared" si="43"/>
        <v>5500</v>
      </c>
      <c r="L79" s="90">
        <v>0</v>
      </c>
      <c r="M79" s="90">
        <f t="shared" si="44"/>
        <v>5500</v>
      </c>
      <c r="N79" s="90">
        <v>0</v>
      </c>
      <c r="O79" s="90">
        <f t="shared" si="45"/>
        <v>5500</v>
      </c>
      <c r="P79" s="90">
        <v>0</v>
      </c>
      <c r="Q79" s="90">
        <f t="shared" si="46"/>
        <v>5500</v>
      </c>
    </row>
    <row r="80" spans="1:17" s="26" customFormat="1" ht="56.25">
      <c r="A80" s="66"/>
      <c r="B80" s="84">
        <v>85213</v>
      </c>
      <c r="C80" s="67"/>
      <c r="D80" s="75" t="s">
        <v>260</v>
      </c>
      <c r="E80" s="89">
        <f aca="true" t="shared" si="47" ref="E80:Q80">SUM(E81:E81)</f>
        <v>16068</v>
      </c>
      <c r="F80" s="89">
        <f t="shared" si="47"/>
        <v>0</v>
      </c>
      <c r="G80" s="89">
        <f t="shared" si="47"/>
        <v>16068</v>
      </c>
      <c r="H80" s="89">
        <f t="shared" si="47"/>
        <v>0</v>
      </c>
      <c r="I80" s="89">
        <f t="shared" si="47"/>
        <v>16068</v>
      </c>
      <c r="J80" s="89">
        <f t="shared" si="47"/>
        <v>0</v>
      </c>
      <c r="K80" s="89">
        <f t="shared" si="47"/>
        <v>16068</v>
      </c>
      <c r="L80" s="89">
        <f t="shared" si="47"/>
        <v>9932</v>
      </c>
      <c r="M80" s="89">
        <f t="shared" si="47"/>
        <v>26000</v>
      </c>
      <c r="N80" s="89">
        <f t="shared" si="47"/>
        <v>0</v>
      </c>
      <c r="O80" s="89">
        <f t="shared" si="47"/>
        <v>26000</v>
      </c>
      <c r="P80" s="89">
        <f t="shared" si="47"/>
        <v>0</v>
      </c>
      <c r="Q80" s="89">
        <f t="shared" si="47"/>
        <v>26000</v>
      </c>
    </row>
    <row r="81" spans="1:17" s="26" customFormat="1" ht="24" customHeight="1">
      <c r="A81" s="66"/>
      <c r="B81" s="84"/>
      <c r="C81" s="84">
        <v>4130</v>
      </c>
      <c r="D81" s="41" t="s">
        <v>118</v>
      </c>
      <c r="E81" s="90">
        <v>16068</v>
      </c>
      <c r="F81" s="90"/>
      <c r="G81" s="90">
        <f>SUM(E81:F81)</f>
        <v>16068</v>
      </c>
      <c r="H81" s="90">
        <v>0</v>
      </c>
      <c r="I81" s="90">
        <f>SUM(G81:H81)</f>
        <v>16068</v>
      </c>
      <c r="J81" s="90"/>
      <c r="K81" s="90">
        <f>SUM(I81:J81)</f>
        <v>16068</v>
      </c>
      <c r="L81" s="90">
        <v>9932</v>
      </c>
      <c r="M81" s="90">
        <f>SUM(K81:L81)</f>
        <v>26000</v>
      </c>
      <c r="N81" s="90"/>
      <c r="O81" s="90">
        <f>SUM(M81:N81)</f>
        <v>26000</v>
      </c>
      <c r="P81" s="90"/>
      <c r="Q81" s="90">
        <f>SUM(O81:P81)</f>
        <v>26000</v>
      </c>
    </row>
    <row r="82" spans="1:17" s="26" customFormat="1" ht="24" customHeight="1">
      <c r="A82" s="66"/>
      <c r="B82" s="84">
        <v>85219</v>
      </c>
      <c r="C82" s="84"/>
      <c r="D82" s="75" t="s">
        <v>274</v>
      </c>
      <c r="E82" s="90"/>
      <c r="F82" s="90"/>
      <c r="G82" s="90">
        <f aca="true" t="shared" si="48" ref="G82:Q82">SUM(G83)</f>
        <v>0</v>
      </c>
      <c r="H82" s="90">
        <f t="shared" si="48"/>
        <v>3280</v>
      </c>
      <c r="I82" s="90">
        <f t="shared" si="48"/>
        <v>3280</v>
      </c>
      <c r="J82" s="90">
        <f t="shared" si="48"/>
        <v>0</v>
      </c>
      <c r="K82" s="90">
        <f t="shared" si="48"/>
        <v>3280</v>
      </c>
      <c r="L82" s="90">
        <f t="shared" si="48"/>
        <v>0</v>
      </c>
      <c r="M82" s="90">
        <f t="shared" si="48"/>
        <v>3280</v>
      </c>
      <c r="N82" s="90">
        <f t="shared" si="48"/>
        <v>6000</v>
      </c>
      <c r="O82" s="90">
        <f t="shared" si="48"/>
        <v>9280</v>
      </c>
      <c r="P82" s="90">
        <f t="shared" si="48"/>
        <v>3000</v>
      </c>
      <c r="Q82" s="90">
        <f t="shared" si="48"/>
        <v>12280</v>
      </c>
    </row>
    <row r="83" spans="1:17" s="26" customFormat="1" ht="24" customHeight="1">
      <c r="A83" s="66"/>
      <c r="B83" s="84"/>
      <c r="C83" s="84">
        <v>3110</v>
      </c>
      <c r="D83" s="65" t="s">
        <v>110</v>
      </c>
      <c r="E83" s="90"/>
      <c r="F83" s="90"/>
      <c r="G83" s="90">
        <v>0</v>
      </c>
      <c r="H83" s="90">
        <v>3280</v>
      </c>
      <c r="I83" s="90">
        <f>SUM(G83:H83)</f>
        <v>3280</v>
      </c>
      <c r="J83" s="90"/>
      <c r="K83" s="90">
        <f>SUM(I83:J83)</f>
        <v>3280</v>
      </c>
      <c r="L83" s="90">
        <v>0</v>
      </c>
      <c r="M83" s="90">
        <f>SUM(K83:L83)</f>
        <v>3280</v>
      </c>
      <c r="N83" s="90">
        <v>6000</v>
      </c>
      <c r="O83" s="90">
        <f>SUM(M83:N83)</f>
        <v>9280</v>
      </c>
      <c r="P83" s="90">
        <v>3000</v>
      </c>
      <c r="Q83" s="90">
        <f>SUM(O83:P83)</f>
        <v>12280</v>
      </c>
    </row>
    <row r="84" spans="1:17" s="26" customFormat="1" ht="19.5" customHeight="1">
      <c r="A84" s="105"/>
      <c r="B84" s="106"/>
      <c r="C84" s="107"/>
      <c r="D84" s="95" t="s">
        <v>65</v>
      </c>
      <c r="E84" s="96">
        <f>SUM(E72,E57,E41)</f>
        <v>7104311</v>
      </c>
      <c r="F84" s="96">
        <f>SUM(F72,F57,F41)</f>
        <v>46434</v>
      </c>
      <c r="G84" s="96">
        <f>SUM(G72,G57,G41)</f>
        <v>7150745</v>
      </c>
      <c r="H84" s="96">
        <f>SUM(H72,H57,H41)</f>
        <v>32351</v>
      </c>
      <c r="I84" s="96">
        <f aca="true" t="shared" si="49" ref="I84:O84">SUM(I72,I57,I41,I33)</f>
        <v>7183096</v>
      </c>
      <c r="J84" s="96">
        <f t="shared" si="49"/>
        <v>0</v>
      </c>
      <c r="K84" s="96">
        <f t="shared" si="49"/>
        <v>7183096</v>
      </c>
      <c r="L84" s="96">
        <f t="shared" si="49"/>
        <v>271570</v>
      </c>
      <c r="M84" s="96">
        <f t="shared" si="49"/>
        <v>7454666</v>
      </c>
      <c r="N84" s="96">
        <f t="shared" si="49"/>
        <v>6000</v>
      </c>
      <c r="O84" s="96">
        <f t="shared" si="49"/>
        <v>7460666</v>
      </c>
      <c r="P84" s="96">
        <f>SUM(P72,P57,P41,P33)</f>
        <v>21318</v>
      </c>
      <c r="Q84" s="96">
        <f>SUM(Q72,Q57,Q41,Q33)</f>
        <v>7481984</v>
      </c>
    </row>
    <row r="85" spans="1:3" ht="12.75">
      <c r="A85" s="55"/>
      <c r="B85" s="55"/>
      <c r="C85" s="55"/>
    </row>
    <row r="88" spans="5:17" ht="12.75"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91" ht="12.75">
      <c r="P91" s="152"/>
    </row>
  </sheetData>
  <sheetProtection/>
  <mergeCells count="2">
    <mergeCell ref="A6:E6"/>
    <mergeCell ref="A5:O5"/>
  </mergeCells>
  <printOptions horizontalCentered="1"/>
  <pageMargins left="0.5118110236220472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S61" sqref="A1:S61"/>
    </sheetView>
  </sheetViews>
  <sheetFormatPr defaultColWidth="9.00390625" defaultRowHeight="12.75"/>
  <cols>
    <col min="1" max="1" width="6.00390625" style="9" customWidth="1"/>
    <col min="2" max="2" width="7.25390625" style="9" bestFit="1" customWidth="1"/>
    <col min="3" max="3" width="5.00390625" style="9" bestFit="1" customWidth="1"/>
    <col min="4" max="4" width="37.75390625" style="9" customWidth="1"/>
    <col min="5" max="5" width="47.375" style="9" customWidth="1"/>
    <col min="6" max="6" width="12.25390625" style="9" customWidth="1"/>
    <col min="7" max="7" width="19.875" style="9" hidden="1" customWidth="1"/>
    <col min="8" max="8" width="11.375" style="9" hidden="1" customWidth="1"/>
    <col min="9" max="9" width="12.00390625" style="9" hidden="1" customWidth="1"/>
    <col min="10" max="10" width="11.375" style="9" hidden="1" customWidth="1"/>
    <col min="11" max="11" width="11.75390625" style="9" hidden="1" customWidth="1"/>
    <col min="12" max="12" width="9.75390625" style="9" hidden="1" customWidth="1"/>
    <col min="13" max="13" width="11.75390625" style="9" hidden="1" customWidth="1"/>
    <col min="14" max="14" width="11.375" style="9" hidden="1" customWidth="1"/>
    <col min="15" max="15" width="0.12890625" style="9" hidden="1" customWidth="1"/>
    <col min="16" max="16" width="13.125" style="9" hidden="1" customWidth="1"/>
    <col min="17" max="17" width="11.75390625" style="9" customWidth="1"/>
    <col min="18" max="18" width="11.375" style="9" bestFit="1" customWidth="1"/>
    <col min="19" max="19" width="11.75390625" style="9" customWidth="1"/>
  </cols>
  <sheetData>
    <row r="1" spans="6:18" ht="12.75">
      <c r="F1" s="26" t="s">
        <v>475</v>
      </c>
      <c r="G1" s="9" t="s">
        <v>292</v>
      </c>
      <c r="I1" s="26" t="s">
        <v>383</v>
      </c>
      <c r="K1" s="26"/>
      <c r="L1" s="26" t="s">
        <v>400</v>
      </c>
      <c r="M1" s="26" t="s">
        <v>421</v>
      </c>
      <c r="N1" s="26"/>
      <c r="O1" s="26"/>
      <c r="P1" s="26" t="s">
        <v>457</v>
      </c>
      <c r="Q1" s="26"/>
      <c r="R1" s="26"/>
    </row>
    <row r="2" spans="6:18" ht="12.75">
      <c r="F2" s="26" t="s">
        <v>466</v>
      </c>
      <c r="G2" s="9" t="s">
        <v>217</v>
      </c>
      <c r="I2" s="26" t="s">
        <v>385</v>
      </c>
      <c r="K2" s="26"/>
      <c r="L2" s="26" t="s">
        <v>399</v>
      </c>
      <c r="M2" s="26" t="s">
        <v>422</v>
      </c>
      <c r="N2" s="26"/>
      <c r="O2" s="26"/>
      <c r="P2" s="26" t="s">
        <v>456</v>
      </c>
      <c r="Q2" s="26"/>
      <c r="R2" s="26"/>
    </row>
    <row r="3" spans="6:18" ht="12.75">
      <c r="F3" s="26" t="s">
        <v>457</v>
      </c>
      <c r="G3" s="9" t="s">
        <v>144</v>
      </c>
      <c r="I3" s="26" t="s">
        <v>384</v>
      </c>
      <c r="K3" s="26"/>
      <c r="L3" s="26" t="s">
        <v>383</v>
      </c>
      <c r="M3" s="26" t="s">
        <v>400</v>
      </c>
      <c r="N3" s="26"/>
      <c r="O3" s="26"/>
      <c r="P3" s="26" t="s">
        <v>421</v>
      </c>
      <c r="Q3" s="26"/>
      <c r="R3" s="26"/>
    </row>
    <row r="4" spans="6:18" ht="12.75">
      <c r="F4" s="26" t="s">
        <v>463</v>
      </c>
      <c r="G4" s="9" t="s">
        <v>218</v>
      </c>
      <c r="I4" s="26" t="s">
        <v>386</v>
      </c>
      <c r="K4" s="26"/>
      <c r="L4" s="26" t="s">
        <v>387</v>
      </c>
      <c r="M4" s="26" t="s">
        <v>410</v>
      </c>
      <c r="N4" s="26"/>
      <c r="O4" s="26"/>
      <c r="P4" s="26" t="s">
        <v>425</v>
      </c>
      <c r="Q4" s="26"/>
      <c r="R4" s="26"/>
    </row>
    <row r="5" spans="1:19" ht="35.25" customHeight="1">
      <c r="A5" s="258" t="s">
        <v>284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/>
      <c r="M5"/>
      <c r="N5"/>
      <c r="O5"/>
      <c r="P5"/>
      <c r="Q5"/>
      <c r="R5"/>
      <c r="S5"/>
    </row>
    <row r="6" spans="1:19" ht="31.5" customHeight="1">
      <c r="A6" s="260" t="s">
        <v>301</v>
      </c>
      <c r="B6" s="260"/>
      <c r="C6" s="260"/>
      <c r="D6" s="260"/>
      <c r="E6" s="260"/>
      <c r="F6" s="260"/>
      <c r="G6" s="260"/>
      <c r="H6" s="260"/>
      <c r="I6" s="260"/>
      <c r="J6"/>
      <c r="K6"/>
      <c r="L6"/>
      <c r="M6"/>
      <c r="N6"/>
      <c r="O6"/>
      <c r="P6"/>
      <c r="Q6"/>
      <c r="R6"/>
      <c r="S6"/>
    </row>
    <row r="7" spans="1:19" ht="28.5" customHeight="1">
      <c r="A7" s="261" t="s">
        <v>299</v>
      </c>
      <c r="B7" s="261"/>
      <c r="C7" s="261"/>
      <c r="D7" s="261"/>
      <c r="E7" s="261"/>
      <c r="F7" s="261"/>
      <c r="G7" s="261"/>
      <c r="H7"/>
      <c r="I7"/>
      <c r="J7"/>
      <c r="K7"/>
      <c r="L7"/>
      <c r="M7"/>
      <c r="N7"/>
      <c r="O7"/>
      <c r="P7"/>
      <c r="Q7"/>
      <c r="R7"/>
      <c r="S7"/>
    </row>
    <row r="8" spans="1:19" s="113" customFormat="1" ht="29.25" customHeight="1">
      <c r="A8" s="6" t="s">
        <v>0</v>
      </c>
      <c r="B8" s="6" t="s">
        <v>1</v>
      </c>
      <c r="C8" s="6" t="s">
        <v>2</v>
      </c>
      <c r="D8" s="6" t="s">
        <v>225</v>
      </c>
      <c r="E8" s="6" t="s">
        <v>226</v>
      </c>
      <c r="F8" s="6" t="s">
        <v>262</v>
      </c>
      <c r="G8" s="10" t="s">
        <v>227</v>
      </c>
      <c r="H8" s="10" t="s">
        <v>337</v>
      </c>
      <c r="I8" s="10" t="s">
        <v>227</v>
      </c>
      <c r="J8" s="10" t="s">
        <v>337</v>
      </c>
      <c r="K8" s="10" t="s">
        <v>227</v>
      </c>
      <c r="L8" s="10" t="s">
        <v>337</v>
      </c>
      <c r="M8" s="10" t="s">
        <v>227</v>
      </c>
      <c r="N8" s="10" t="s">
        <v>337</v>
      </c>
      <c r="O8" s="10" t="s">
        <v>227</v>
      </c>
      <c r="P8" s="10" t="s">
        <v>337</v>
      </c>
      <c r="Q8" s="10" t="s">
        <v>462</v>
      </c>
      <c r="R8" s="10" t="s">
        <v>337</v>
      </c>
      <c r="S8" s="10" t="s">
        <v>227</v>
      </c>
    </row>
    <row r="9" spans="1:19" s="141" customFormat="1" ht="33.75">
      <c r="A9" s="135">
        <v>801</v>
      </c>
      <c r="B9" s="135">
        <v>80104</v>
      </c>
      <c r="C9" s="135">
        <v>2310</v>
      </c>
      <c r="D9" s="200" t="s">
        <v>346</v>
      </c>
      <c r="E9" s="201" t="s">
        <v>348</v>
      </c>
      <c r="F9" s="202" t="s">
        <v>264</v>
      </c>
      <c r="G9" s="203">
        <v>0</v>
      </c>
      <c r="H9" s="203">
        <v>4963</v>
      </c>
      <c r="I9" s="204">
        <f aca="true" t="shared" si="0" ref="I9:I23">SUM(G9:H9)</f>
        <v>4963</v>
      </c>
      <c r="J9" s="203"/>
      <c r="K9" s="204">
        <f aca="true" t="shared" si="1" ref="K9:K23">SUM(I9:J9)</f>
        <v>4963</v>
      </c>
      <c r="L9" s="203"/>
      <c r="M9" s="204">
        <f aca="true" t="shared" si="2" ref="M9:M23">SUM(K9:L9)</f>
        <v>4963</v>
      </c>
      <c r="N9" s="203"/>
      <c r="O9" s="204">
        <f aca="true" t="shared" si="3" ref="O9:O23">SUM(M9:N9)</f>
        <v>4963</v>
      </c>
      <c r="P9" s="203">
        <v>14900</v>
      </c>
      <c r="Q9" s="204">
        <f aca="true" t="shared" si="4" ref="Q9:Q23">SUM(O9:P9)</f>
        <v>19863</v>
      </c>
      <c r="R9" s="203"/>
      <c r="S9" s="204">
        <f aca="true" t="shared" si="5" ref="S9:S23">SUM(Q9:R9)</f>
        <v>19863</v>
      </c>
    </row>
    <row r="10" spans="1:19" s="141" customFormat="1" ht="22.5">
      <c r="A10" s="135">
        <v>851</v>
      </c>
      <c r="B10" s="135">
        <v>85154</v>
      </c>
      <c r="C10" s="135">
        <v>2710</v>
      </c>
      <c r="D10" s="200" t="s">
        <v>346</v>
      </c>
      <c r="E10" s="201" t="s">
        <v>411</v>
      </c>
      <c r="F10" s="202" t="s">
        <v>264</v>
      </c>
      <c r="G10" s="203"/>
      <c r="H10" s="203"/>
      <c r="I10" s="204"/>
      <c r="J10" s="203"/>
      <c r="K10" s="204"/>
      <c r="L10" s="203"/>
      <c r="M10" s="204">
        <v>0</v>
      </c>
      <c r="N10" s="203">
        <f>13170+21000</f>
        <v>34170</v>
      </c>
      <c r="O10" s="204">
        <f t="shared" si="3"/>
        <v>34170</v>
      </c>
      <c r="P10" s="203"/>
      <c r="Q10" s="204">
        <f t="shared" si="4"/>
        <v>34170</v>
      </c>
      <c r="R10" s="203"/>
      <c r="S10" s="204">
        <f t="shared" si="5"/>
        <v>34170</v>
      </c>
    </row>
    <row r="11" spans="1:19" s="141" customFormat="1" ht="33.75">
      <c r="A11" s="135">
        <v>852</v>
      </c>
      <c r="B11" s="135">
        <v>85295</v>
      </c>
      <c r="C11" s="135">
        <v>2710</v>
      </c>
      <c r="D11" s="200" t="s">
        <v>304</v>
      </c>
      <c r="E11" s="201" t="s">
        <v>365</v>
      </c>
      <c r="F11" s="202" t="s">
        <v>264</v>
      </c>
      <c r="G11" s="203"/>
      <c r="H11" s="203"/>
      <c r="I11" s="204">
        <v>0</v>
      </c>
      <c r="J11" s="203">
        <v>10000</v>
      </c>
      <c r="K11" s="204">
        <f t="shared" si="1"/>
        <v>10000</v>
      </c>
      <c r="L11" s="203"/>
      <c r="M11" s="204">
        <f t="shared" si="2"/>
        <v>10000</v>
      </c>
      <c r="N11" s="203"/>
      <c r="O11" s="204">
        <f t="shared" si="3"/>
        <v>10000</v>
      </c>
      <c r="P11" s="203"/>
      <c r="Q11" s="204">
        <f t="shared" si="4"/>
        <v>10000</v>
      </c>
      <c r="R11" s="203"/>
      <c r="S11" s="204">
        <f t="shared" si="5"/>
        <v>10000</v>
      </c>
    </row>
    <row r="12" spans="1:19" s="141" customFormat="1" ht="18" customHeight="1">
      <c r="A12" s="135">
        <v>853</v>
      </c>
      <c r="B12" s="135">
        <v>85311</v>
      </c>
      <c r="C12" s="135">
        <v>2710</v>
      </c>
      <c r="D12" s="200" t="s">
        <v>304</v>
      </c>
      <c r="E12" s="205" t="s">
        <v>347</v>
      </c>
      <c r="F12" s="202" t="s">
        <v>264</v>
      </c>
      <c r="G12" s="203">
        <v>0</v>
      </c>
      <c r="H12" s="203">
        <v>11837</v>
      </c>
      <c r="I12" s="204">
        <f t="shared" si="0"/>
        <v>11837</v>
      </c>
      <c r="J12" s="203"/>
      <c r="K12" s="204">
        <f t="shared" si="1"/>
        <v>11837</v>
      </c>
      <c r="L12" s="203"/>
      <c r="M12" s="204">
        <f t="shared" si="2"/>
        <v>11837</v>
      </c>
      <c r="N12" s="203"/>
      <c r="O12" s="204">
        <f t="shared" si="3"/>
        <v>11837</v>
      </c>
      <c r="P12" s="203"/>
      <c r="Q12" s="204">
        <f t="shared" si="4"/>
        <v>11837</v>
      </c>
      <c r="R12" s="203"/>
      <c r="S12" s="204">
        <f t="shared" si="5"/>
        <v>11837</v>
      </c>
    </row>
    <row r="13" spans="1:19" s="206" customFormat="1" ht="22.5">
      <c r="A13" s="135">
        <v>854</v>
      </c>
      <c r="B13" s="135">
        <v>85495</v>
      </c>
      <c r="C13" s="135">
        <v>2320</v>
      </c>
      <c r="D13" s="200" t="s">
        <v>304</v>
      </c>
      <c r="E13" s="201" t="s">
        <v>273</v>
      </c>
      <c r="F13" s="202" t="s">
        <v>264</v>
      </c>
      <c r="G13" s="204">
        <v>233290</v>
      </c>
      <c r="H13" s="204"/>
      <c r="I13" s="204">
        <f t="shared" si="0"/>
        <v>233290</v>
      </c>
      <c r="J13" s="204"/>
      <c r="K13" s="204">
        <f t="shared" si="1"/>
        <v>233290</v>
      </c>
      <c r="L13" s="204"/>
      <c r="M13" s="204">
        <f t="shared" si="2"/>
        <v>233290</v>
      </c>
      <c r="N13" s="204"/>
      <c r="O13" s="204">
        <f t="shared" si="3"/>
        <v>233290</v>
      </c>
      <c r="P13" s="204"/>
      <c r="Q13" s="204">
        <f t="shared" si="4"/>
        <v>233290</v>
      </c>
      <c r="R13" s="204"/>
      <c r="S13" s="204">
        <f t="shared" si="5"/>
        <v>233290</v>
      </c>
    </row>
    <row r="14" spans="1:19" s="206" customFormat="1" ht="16.5" customHeight="1">
      <c r="A14" s="135">
        <v>854</v>
      </c>
      <c r="B14" s="135">
        <v>85495</v>
      </c>
      <c r="C14" s="135">
        <v>2320</v>
      </c>
      <c r="D14" s="200" t="s">
        <v>304</v>
      </c>
      <c r="E14" s="207" t="s">
        <v>232</v>
      </c>
      <c r="F14" s="200" t="s">
        <v>264</v>
      </c>
      <c r="G14" s="137">
        <v>37095</v>
      </c>
      <c r="H14" s="137"/>
      <c r="I14" s="204">
        <f t="shared" si="0"/>
        <v>37095</v>
      </c>
      <c r="J14" s="137"/>
      <c r="K14" s="204">
        <f t="shared" si="1"/>
        <v>37095</v>
      </c>
      <c r="L14" s="137"/>
      <c r="M14" s="204">
        <f t="shared" si="2"/>
        <v>37095</v>
      </c>
      <c r="N14" s="137"/>
      <c r="O14" s="204">
        <f t="shared" si="3"/>
        <v>37095</v>
      </c>
      <c r="P14" s="137"/>
      <c r="Q14" s="204">
        <f t="shared" si="4"/>
        <v>37095</v>
      </c>
      <c r="R14" s="137"/>
      <c r="S14" s="204">
        <f t="shared" si="5"/>
        <v>37095</v>
      </c>
    </row>
    <row r="15" spans="1:19" s="206" customFormat="1" ht="33.75">
      <c r="A15" s="135">
        <v>854</v>
      </c>
      <c r="B15" s="135">
        <v>85495</v>
      </c>
      <c r="C15" s="138">
        <v>2320</v>
      </c>
      <c r="D15" s="200" t="s">
        <v>304</v>
      </c>
      <c r="E15" s="207" t="s">
        <v>363</v>
      </c>
      <c r="F15" s="200" t="s">
        <v>264</v>
      </c>
      <c r="G15" s="137"/>
      <c r="H15" s="137"/>
      <c r="I15" s="204">
        <v>0</v>
      </c>
      <c r="J15" s="137">
        <v>3000</v>
      </c>
      <c r="K15" s="204">
        <f t="shared" si="1"/>
        <v>3000</v>
      </c>
      <c r="L15" s="137"/>
      <c r="M15" s="204">
        <f t="shared" si="2"/>
        <v>3000</v>
      </c>
      <c r="N15" s="137"/>
      <c r="O15" s="204">
        <f t="shared" si="3"/>
        <v>3000</v>
      </c>
      <c r="P15" s="137"/>
      <c r="Q15" s="204">
        <f t="shared" si="4"/>
        <v>3000</v>
      </c>
      <c r="R15" s="137"/>
      <c r="S15" s="204">
        <f t="shared" si="5"/>
        <v>3000</v>
      </c>
    </row>
    <row r="16" spans="1:19" s="206" customFormat="1" ht="22.5">
      <c r="A16" s="135">
        <v>854</v>
      </c>
      <c r="B16" s="135">
        <v>85495</v>
      </c>
      <c r="C16" s="138">
        <v>2320</v>
      </c>
      <c r="D16" s="200" t="s">
        <v>304</v>
      </c>
      <c r="E16" s="207" t="s">
        <v>364</v>
      </c>
      <c r="F16" s="200" t="s">
        <v>264</v>
      </c>
      <c r="G16" s="137"/>
      <c r="H16" s="137"/>
      <c r="I16" s="204">
        <v>0</v>
      </c>
      <c r="J16" s="137">
        <v>5000</v>
      </c>
      <c r="K16" s="204">
        <f t="shared" si="1"/>
        <v>5000</v>
      </c>
      <c r="L16" s="137"/>
      <c r="M16" s="204">
        <f t="shared" si="2"/>
        <v>5000</v>
      </c>
      <c r="N16" s="137"/>
      <c r="O16" s="204">
        <f t="shared" si="3"/>
        <v>5000</v>
      </c>
      <c r="P16" s="137"/>
      <c r="Q16" s="204">
        <f t="shared" si="4"/>
        <v>5000</v>
      </c>
      <c r="R16" s="137"/>
      <c r="S16" s="204">
        <f t="shared" si="5"/>
        <v>5000</v>
      </c>
    </row>
    <row r="17" spans="1:19" s="206" customFormat="1" ht="46.5" customHeight="1">
      <c r="A17" s="135">
        <v>900</v>
      </c>
      <c r="B17" s="135">
        <v>90019</v>
      </c>
      <c r="C17" s="138">
        <v>2710</v>
      </c>
      <c r="D17" s="200" t="s">
        <v>304</v>
      </c>
      <c r="E17" s="207" t="s">
        <v>454</v>
      </c>
      <c r="F17" s="200" t="s">
        <v>264</v>
      </c>
      <c r="G17" s="137"/>
      <c r="H17" s="137"/>
      <c r="I17" s="204"/>
      <c r="J17" s="137"/>
      <c r="K17" s="204"/>
      <c r="L17" s="137"/>
      <c r="M17" s="204"/>
      <c r="N17" s="137"/>
      <c r="O17" s="204">
        <v>0</v>
      </c>
      <c r="P17" s="137">
        <v>20000</v>
      </c>
      <c r="Q17" s="204">
        <f t="shared" si="4"/>
        <v>20000</v>
      </c>
      <c r="R17" s="137"/>
      <c r="S17" s="204">
        <f t="shared" si="5"/>
        <v>20000</v>
      </c>
    </row>
    <row r="18" spans="1:19" s="206" customFormat="1" ht="18.75" customHeight="1">
      <c r="A18" s="208" t="s">
        <v>62</v>
      </c>
      <c r="B18" s="135">
        <v>92109</v>
      </c>
      <c r="C18" s="138">
        <v>2480</v>
      </c>
      <c r="D18" s="200" t="s">
        <v>228</v>
      </c>
      <c r="E18" s="207" t="s">
        <v>229</v>
      </c>
      <c r="F18" s="200" t="s">
        <v>263</v>
      </c>
      <c r="G18" s="137">
        <v>624660</v>
      </c>
      <c r="H18" s="137">
        <f>16000+18000</f>
        <v>34000</v>
      </c>
      <c r="I18" s="204">
        <f t="shared" si="0"/>
        <v>658660</v>
      </c>
      <c r="J18" s="137"/>
      <c r="K18" s="204">
        <f t="shared" si="1"/>
        <v>658660</v>
      </c>
      <c r="L18" s="137">
        <v>-12000</v>
      </c>
      <c r="M18" s="204">
        <f t="shared" si="2"/>
        <v>646660</v>
      </c>
      <c r="N18" s="137"/>
      <c r="O18" s="204">
        <f t="shared" si="3"/>
        <v>646660</v>
      </c>
      <c r="P18" s="137"/>
      <c r="Q18" s="204">
        <f t="shared" si="4"/>
        <v>646660</v>
      </c>
      <c r="R18" s="137"/>
      <c r="S18" s="204">
        <f t="shared" si="5"/>
        <v>646660</v>
      </c>
    </row>
    <row r="19" spans="1:19" s="206" customFormat="1" ht="22.5">
      <c r="A19" s="208">
        <v>921</v>
      </c>
      <c r="B19" s="135">
        <v>92109</v>
      </c>
      <c r="C19" s="138">
        <v>2480</v>
      </c>
      <c r="D19" s="200" t="s">
        <v>228</v>
      </c>
      <c r="E19" s="207" t="s">
        <v>358</v>
      </c>
      <c r="F19" s="200" t="s">
        <v>263</v>
      </c>
      <c r="G19" s="137">
        <v>0</v>
      </c>
      <c r="H19" s="137">
        <f>800+3500</f>
        <v>4300</v>
      </c>
      <c r="I19" s="204">
        <f t="shared" si="0"/>
        <v>4300</v>
      </c>
      <c r="J19" s="137"/>
      <c r="K19" s="204">
        <f t="shared" si="1"/>
        <v>4300</v>
      </c>
      <c r="L19" s="137"/>
      <c r="M19" s="204">
        <f t="shared" si="2"/>
        <v>4300</v>
      </c>
      <c r="N19" s="137"/>
      <c r="O19" s="204">
        <f t="shared" si="3"/>
        <v>4300</v>
      </c>
      <c r="P19" s="137"/>
      <c r="Q19" s="204">
        <f t="shared" si="4"/>
        <v>4300</v>
      </c>
      <c r="R19" s="137"/>
      <c r="S19" s="204">
        <f t="shared" si="5"/>
        <v>4300</v>
      </c>
    </row>
    <row r="20" spans="1:19" s="206" customFormat="1" ht="22.5">
      <c r="A20" s="208">
        <v>921</v>
      </c>
      <c r="B20" s="208" t="s">
        <v>63</v>
      </c>
      <c r="C20" s="138">
        <v>2480</v>
      </c>
      <c r="D20" s="207" t="s">
        <v>230</v>
      </c>
      <c r="E20" s="207" t="s">
        <v>269</v>
      </c>
      <c r="F20" s="200" t="s">
        <v>263</v>
      </c>
      <c r="G20" s="137">
        <v>60000</v>
      </c>
      <c r="H20" s="137"/>
      <c r="I20" s="204">
        <f t="shared" si="0"/>
        <v>60000</v>
      </c>
      <c r="J20" s="137"/>
      <c r="K20" s="204">
        <f t="shared" si="1"/>
        <v>60000</v>
      </c>
      <c r="L20" s="137"/>
      <c r="M20" s="204">
        <f t="shared" si="2"/>
        <v>60000</v>
      </c>
      <c r="N20" s="137"/>
      <c r="O20" s="204">
        <f t="shared" si="3"/>
        <v>60000</v>
      </c>
      <c r="P20" s="137"/>
      <c r="Q20" s="204">
        <f t="shared" si="4"/>
        <v>60000</v>
      </c>
      <c r="R20" s="137"/>
      <c r="S20" s="204">
        <f t="shared" si="5"/>
        <v>60000</v>
      </c>
    </row>
    <row r="21" spans="1:19" s="206" customFormat="1" ht="24" customHeight="1">
      <c r="A21" s="208">
        <v>922</v>
      </c>
      <c r="B21" s="208" t="s">
        <v>63</v>
      </c>
      <c r="C21" s="138">
        <v>2480</v>
      </c>
      <c r="D21" s="207" t="s">
        <v>230</v>
      </c>
      <c r="E21" s="207" t="s">
        <v>229</v>
      </c>
      <c r="F21" s="200" t="s">
        <v>263</v>
      </c>
      <c r="G21" s="137">
        <v>1125030</v>
      </c>
      <c r="H21" s="137">
        <v>-5000</v>
      </c>
      <c r="I21" s="204">
        <f t="shared" si="0"/>
        <v>1120030</v>
      </c>
      <c r="J21" s="137"/>
      <c r="K21" s="204">
        <f t="shared" si="1"/>
        <v>1120030</v>
      </c>
      <c r="L21" s="137">
        <v>-10000</v>
      </c>
      <c r="M21" s="204">
        <f t="shared" si="2"/>
        <v>1110030</v>
      </c>
      <c r="N21" s="137"/>
      <c r="O21" s="204">
        <f t="shared" si="3"/>
        <v>1110030</v>
      </c>
      <c r="P21" s="137"/>
      <c r="Q21" s="204">
        <f t="shared" si="4"/>
        <v>1110030</v>
      </c>
      <c r="R21" s="137"/>
      <c r="S21" s="204">
        <f t="shared" si="5"/>
        <v>1110030</v>
      </c>
    </row>
    <row r="22" spans="1:19" s="206" customFormat="1" ht="16.5" customHeight="1">
      <c r="A22" s="208">
        <v>921</v>
      </c>
      <c r="B22" s="208" t="s">
        <v>136</v>
      </c>
      <c r="C22" s="135">
        <v>2480</v>
      </c>
      <c r="D22" s="209" t="s">
        <v>231</v>
      </c>
      <c r="E22" s="207" t="s">
        <v>229</v>
      </c>
      <c r="F22" s="200" t="s">
        <v>263</v>
      </c>
      <c r="G22" s="137">
        <v>600000</v>
      </c>
      <c r="H22" s="137">
        <v>-5000</v>
      </c>
      <c r="I22" s="204">
        <f t="shared" si="0"/>
        <v>595000</v>
      </c>
      <c r="J22" s="137"/>
      <c r="K22" s="204">
        <f t="shared" si="1"/>
        <v>595000</v>
      </c>
      <c r="L22" s="137">
        <v>-48000</v>
      </c>
      <c r="M22" s="204">
        <f t="shared" si="2"/>
        <v>547000</v>
      </c>
      <c r="N22" s="137"/>
      <c r="O22" s="204">
        <f t="shared" si="3"/>
        <v>547000</v>
      </c>
      <c r="P22" s="137"/>
      <c r="Q22" s="204">
        <f t="shared" si="4"/>
        <v>547000</v>
      </c>
      <c r="R22" s="137"/>
      <c r="S22" s="204">
        <f t="shared" si="5"/>
        <v>547000</v>
      </c>
    </row>
    <row r="23" spans="1:19" s="206" customFormat="1" ht="22.5">
      <c r="A23" s="210">
        <v>921</v>
      </c>
      <c r="B23" s="211">
        <v>92118</v>
      </c>
      <c r="C23" s="212">
        <v>2480</v>
      </c>
      <c r="D23" s="209" t="s">
        <v>231</v>
      </c>
      <c r="E23" s="207" t="s">
        <v>358</v>
      </c>
      <c r="F23" s="200" t="s">
        <v>263</v>
      </c>
      <c r="G23" s="137">
        <v>0</v>
      </c>
      <c r="H23" s="137">
        <f>1000+2000+1000</f>
        <v>4000</v>
      </c>
      <c r="I23" s="204">
        <f t="shared" si="0"/>
        <v>4000</v>
      </c>
      <c r="J23" s="137"/>
      <c r="K23" s="204">
        <f t="shared" si="1"/>
        <v>4000</v>
      </c>
      <c r="L23" s="137"/>
      <c r="M23" s="204">
        <f t="shared" si="2"/>
        <v>4000</v>
      </c>
      <c r="N23" s="137"/>
      <c r="O23" s="204">
        <f t="shared" si="3"/>
        <v>4000</v>
      </c>
      <c r="P23" s="137"/>
      <c r="Q23" s="204">
        <f t="shared" si="4"/>
        <v>4000</v>
      </c>
      <c r="R23" s="137"/>
      <c r="S23" s="204">
        <f t="shared" si="5"/>
        <v>4000</v>
      </c>
    </row>
    <row r="24" spans="1:19" s="128" customFormat="1" ht="24.75" customHeight="1">
      <c r="A24" s="154"/>
      <c r="B24" s="155"/>
      <c r="C24" s="156"/>
      <c r="D24" s="140"/>
      <c r="E24" s="157"/>
      <c r="F24" s="158" t="s">
        <v>65</v>
      </c>
      <c r="G24" s="159">
        <f aca="true" t="shared" si="6" ref="G24:M24">SUM(G9:G23)</f>
        <v>2680075</v>
      </c>
      <c r="H24" s="159">
        <f t="shared" si="6"/>
        <v>49100</v>
      </c>
      <c r="I24" s="159">
        <f t="shared" si="6"/>
        <v>2729175</v>
      </c>
      <c r="J24" s="159">
        <f t="shared" si="6"/>
        <v>18000</v>
      </c>
      <c r="K24" s="159">
        <f t="shared" si="6"/>
        <v>2747175</v>
      </c>
      <c r="L24" s="159">
        <f t="shared" si="6"/>
        <v>-70000</v>
      </c>
      <c r="M24" s="159">
        <f t="shared" si="6"/>
        <v>2677175</v>
      </c>
      <c r="N24" s="159">
        <f aca="true" t="shared" si="7" ref="N24:S24">SUM(N9:N23)</f>
        <v>34170</v>
      </c>
      <c r="O24" s="159">
        <f t="shared" si="7"/>
        <v>2711345</v>
      </c>
      <c r="P24" s="159">
        <f t="shared" si="7"/>
        <v>34900</v>
      </c>
      <c r="Q24" s="159">
        <f t="shared" si="7"/>
        <v>2746245</v>
      </c>
      <c r="R24" s="159">
        <f t="shared" si="7"/>
        <v>0</v>
      </c>
      <c r="S24" s="159">
        <f t="shared" si="7"/>
        <v>2746245</v>
      </c>
    </row>
    <row r="25" spans="1:19" s="128" customFormat="1" ht="24.75" customHeight="1">
      <c r="A25" s="154"/>
      <c r="B25" s="155"/>
      <c r="C25" s="156"/>
      <c r="D25" s="140"/>
      <c r="E25" s="157"/>
      <c r="F25" s="219"/>
      <c r="G25" s="220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</row>
    <row r="26" spans="1:7" s="128" customFormat="1" ht="30" customHeight="1">
      <c r="A26" s="262" t="s">
        <v>300</v>
      </c>
      <c r="B26" s="263"/>
      <c r="C26" s="263"/>
      <c r="D26" s="263"/>
      <c r="E26" s="263"/>
      <c r="F26" s="263"/>
      <c r="G26" s="264"/>
    </row>
    <row r="27" spans="1:19" s="206" customFormat="1" ht="27" customHeight="1">
      <c r="A27" s="208" t="s">
        <v>4</v>
      </c>
      <c r="B27" s="208" t="s">
        <v>266</v>
      </c>
      <c r="C27" s="135">
        <v>2830</v>
      </c>
      <c r="D27" s="207" t="s">
        <v>268</v>
      </c>
      <c r="E27" s="207" t="s">
        <v>310</v>
      </c>
      <c r="F27" s="200" t="s">
        <v>264</v>
      </c>
      <c r="G27" s="137">
        <v>70000</v>
      </c>
      <c r="H27" s="137"/>
      <c r="I27" s="137">
        <f aca="true" t="shared" si="8" ref="I27:I33">SUM(G27:H27)</f>
        <v>70000</v>
      </c>
      <c r="J27" s="137"/>
      <c r="K27" s="137">
        <f aca="true" t="shared" si="9" ref="K27:K50">SUM(I27:J27)</f>
        <v>70000</v>
      </c>
      <c r="L27" s="137"/>
      <c r="M27" s="137">
        <f aca="true" t="shared" si="10" ref="M27:M50">SUM(K27:L27)</f>
        <v>70000</v>
      </c>
      <c r="N27" s="137"/>
      <c r="O27" s="137">
        <f aca="true" t="shared" si="11" ref="O27:O50">SUM(M27:N27)</f>
        <v>70000</v>
      </c>
      <c r="P27" s="137"/>
      <c r="Q27" s="137">
        <f aca="true" t="shared" si="12" ref="Q27:Q34">SUM(O27:P27)</f>
        <v>70000</v>
      </c>
      <c r="R27" s="137"/>
      <c r="S27" s="137">
        <f aca="true" t="shared" si="13" ref="S27:S50">SUM(Q27:R27)</f>
        <v>70000</v>
      </c>
    </row>
    <row r="28" spans="1:19" s="206" customFormat="1" ht="27" customHeight="1">
      <c r="A28" s="208">
        <v>754</v>
      </c>
      <c r="B28" s="208">
        <v>75412</v>
      </c>
      <c r="C28" s="138">
        <v>2820</v>
      </c>
      <c r="D28" s="207" t="s">
        <v>448</v>
      </c>
      <c r="E28" s="207" t="s">
        <v>449</v>
      </c>
      <c r="F28" s="200" t="s">
        <v>264</v>
      </c>
      <c r="G28" s="137"/>
      <c r="H28" s="137"/>
      <c r="I28" s="137"/>
      <c r="J28" s="137"/>
      <c r="K28" s="137"/>
      <c r="L28" s="137"/>
      <c r="M28" s="137"/>
      <c r="N28" s="137"/>
      <c r="O28" s="137">
        <v>0</v>
      </c>
      <c r="P28" s="137">
        <v>8168</v>
      </c>
      <c r="Q28" s="137">
        <f t="shared" si="12"/>
        <v>8168</v>
      </c>
      <c r="R28" s="137"/>
      <c r="S28" s="137">
        <f t="shared" si="13"/>
        <v>8168</v>
      </c>
    </row>
    <row r="29" spans="1:19" s="206" customFormat="1" ht="22.5">
      <c r="A29" s="208">
        <v>801</v>
      </c>
      <c r="B29" s="135">
        <v>80101</v>
      </c>
      <c r="C29" s="138">
        <v>2590</v>
      </c>
      <c r="D29" s="207" t="s">
        <v>330</v>
      </c>
      <c r="E29" s="207" t="s">
        <v>331</v>
      </c>
      <c r="F29" s="200" t="s">
        <v>263</v>
      </c>
      <c r="G29" s="137">
        <v>1031016</v>
      </c>
      <c r="H29" s="137"/>
      <c r="I29" s="137">
        <f t="shared" si="8"/>
        <v>1031016</v>
      </c>
      <c r="J29" s="137"/>
      <c r="K29" s="137">
        <f t="shared" si="9"/>
        <v>1031016</v>
      </c>
      <c r="L29" s="137"/>
      <c r="M29" s="137">
        <f t="shared" si="10"/>
        <v>1031016</v>
      </c>
      <c r="N29" s="137"/>
      <c r="O29" s="137">
        <f t="shared" si="11"/>
        <v>1031016</v>
      </c>
      <c r="P29" s="137"/>
      <c r="Q29" s="137">
        <f t="shared" si="12"/>
        <v>1031016</v>
      </c>
      <c r="R29" s="137"/>
      <c r="S29" s="137">
        <f t="shared" si="13"/>
        <v>1031016</v>
      </c>
    </row>
    <row r="30" spans="1:19" s="206" customFormat="1" ht="22.5">
      <c r="A30" s="208">
        <v>801</v>
      </c>
      <c r="B30" s="210">
        <v>80103</v>
      </c>
      <c r="C30" s="135">
        <v>2590</v>
      </c>
      <c r="D30" s="213" t="s">
        <v>334</v>
      </c>
      <c r="E30" s="207" t="s">
        <v>333</v>
      </c>
      <c r="F30" s="200" t="s">
        <v>263</v>
      </c>
      <c r="G30" s="137">
        <v>78416</v>
      </c>
      <c r="H30" s="137"/>
      <c r="I30" s="137">
        <f t="shared" si="8"/>
        <v>78416</v>
      </c>
      <c r="J30" s="137"/>
      <c r="K30" s="137">
        <f t="shared" si="9"/>
        <v>78416</v>
      </c>
      <c r="L30" s="137"/>
      <c r="M30" s="137">
        <f t="shared" si="10"/>
        <v>78416</v>
      </c>
      <c r="N30" s="137"/>
      <c r="O30" s="137">
        <f t="shared" si="11"/>
        <v>78416</v>
      </c>
      <c r="P30" s="137"/>
      <c r="Q30" s="137">
        <f t="shared" si="12"/>
        <v>78416</v>
      </c>
      <c r="R30" s="137"/>
      <c r="S30" s="137">
        <f t="shared" si="13"/>
        <v>78416</v>
      </c>
    </row>
    <row r="31" spans="1:19" s="206" customFormat="1" ht="24.75" customHeight="1">
      <c r="A31" s="208">
        <v>801</v>
      </c>
      <c r="B31" s="210">
        <v>80110</v>
      </c>
      <c r="C31" s="135">
        <v>2590</v>
      </c>
      <c r="D31" s="213" t="s">
        <v>330</v>
      </c>
      <c r="E31" s="207" t="s">
        <v>332</v>
      </c>
      <c r="F31" s="214" t="s">
        <v>263</v>
      </c>
      <c r="G31" s="137">
        <v>393700</v>
      </c>
      <c r="H31" s="137"/>
      <c r="I31" s="137">
        <f t="shared" si="8"/>
        <v>393700</v>
      </c>
      <c r="J31" s="137"/>
      <c r="K31" s="137">
        <f t="shared" si="9"/>
        <v>393700</v>
      </c>
      <c r="L31" s="137"/>
      <c r="M31" s="137">
        <f t="shared" si="10"/>
        <v>393700</v>
      </c>
      <c r="N31" s="137"/>
      <c r="O31" s="137">
        <f t="shared" si="11"/>
        <v>393700</v>
      </c>
      <c r="P31" s="137"/>
      <c r="Q31" s="137">
        <f t="shared" si="12"/>
        <v>393700</v>
      </c>
      <c r="R31" s="137"/>
      <c r="S31" s="137">
        <f t="shared" si="13"/>
        <v>393700</v>
      </c>
    </row>
    <row r="32" spans="1:19" s="132" customFormat="1" ht="28.5" customHeight="1">
      <c r="A32" s="139">
        <v>801</v>
      </c>
      <c r="B32" s="139">
        <v>80104</v>
      </c>
      <c r="C32" s="139">
        <v>2540</v>
      </c>
      <c r="D32" s="215" t="s">
        <v>312</v>
      </c>
      <c r="E32" s="215" t="s">
        <v>311</v>
      </c>
      <c r="F32" s="216" t="s">
        <v>263</v>
      </c>
      <c r="G32" s="150">
        <v>37428</v>
      </c>
      <c r="H32" s="150"/>
      <c r="I32" s="137">
        <f t="shared" si="8"/>
        <v>37428</v>
      </c>
      <c r="J32" s="150"/>
      <c r="K32" s="137">
        <f t="shared" si="9"/>
        <v>37428</v>
      </c>
      <c r="L32" s="150"/>
      <c r="M32" s="137">
        <f t="shared" si="10"/>
        <v>37428</v>
      </c>
      <c r="N32" s="150"/>
      <c r="O32" s="137">
        <f t="shared" si="11"/>
        <v>37428</v>
      </c>
      <c r="P32" s="150"/>
      <c r="Q32" s="137">
        <f t="shared" si="12"/>
        <v>37428</v>
      </c>
      <c r="R32" s="150"/>
      <c r="S32" s="137">
        <f t="shared" si="13"/>
        <v>37428</v>
      </c>
    </row>
    <row r="33" spans="1:19" s="132" customFormat="1" ht="28.5" customHeight="1">
      <c r="A33" s="139">
        <v>801</v>
      </c>
      <c r="B33" s="139">
        <v>80104</v>
      </c>
      <c r="C33" s="139">
        <v>2540</v>
      </c>
      <c r="D33" s="215" t="s">
        <v>324</v>
      </c>
      <c r="E33" s="215" t="s">
        <v>311</v>
      </c>
      <c r="F33" s="216" t="s">
        <v>263</v>
      </c>
      <c r="G33" s="150">
        <v>29943</v>
      </c>
      <c r="H33" s="150"/>
      <c r="I33" s="137">
        <f t="shared" si="8"/>
        <v>29943</v>
      </c>
      <c r="J33" s="150"/>
      <c r="K33" s="137">
        <f t="shared" si="9"/>
        <v>29943</v>
      </c>
      <c r="L33" s="150"/>
      <c r="M33" s="137">
        <f t="shared" si="10"/>
        <v>29943</v>
      </c>
      <c r="N33" s="150"/>
      <c r="O33" s="137">
        <f t="shared" si="11"/>
        <v>29943</v>
      </c>
      <c r="P33" s="150"/>
      <c r="Q33" s="137">
        <f t="shared" si="12"/>
        <v>29943</v>
      </c>
      <c r="R33" s="150"/>
      <c r="S33" s="137">
        <f t="shared" si="13"/>
        <v>29943</v>
      </c>
    </row>
    <row r="34" spans="1:19" s="132" customFormat="1" ht="24" customHeight="1">
      <c r="A34" s="139">
        <v>851</v>
      </c>
      <c r="B34" s="139">
        <v>85154</v>
      </c>
      <c r="C34" s="139">
        <v>2360</v>
      </c>
      <c r="D34" s="207" t="s">
        <v>415</v>
      </c>
      <c r="E34" s="207" t="s">
        <v>416</v>
      </c>
      <c r="F34" s="200" t="s">
        <v>264</v>
      </c>
      <c r="G34" s="137"/>
      <c r="H34" s="137"/>
      <c r="I34" s="137"/>
      <c r="J34" s="137"/>
      <c r="K34" s="137"/>
      <c r="L34" s="137"/>
      <c r="M34" s="137">
        <v>0</v>
      </c>
      <c r="N34" s="137">
        <v>34495</v>
      </c>
      <c r="O34" s="137">
        <f>SUM(M34:N34)</f>
        <v>34495</v>
      </c>
      <c r="P34" s="137"/>
      <c r="Q34" s="137">
        <f t="shared" si="12"/>
        <v>34495</v>
      </c>
      <c r="R34" s="137"/>
      <c r="S34" s="137">
        <f t="shared" si="13"/>
        <v>34495</v>
      </c>
    </row>
    <row r="35" spans="1:19" s="132" customFormat="1" ht="24" customHeight="1">
      <c r="A35" s="139">
        <v>854</v>
      </c>
      <c r="B35" s="139">
        <v>85412</v>
      </c>
      <c r="C35" s="139">
        <v>2360</v>
      </c>
      <c r="D35" s="207" t="s">
        <v>474</v>
      </c>
      <c r="E35" s="207" t="s">
        <v>473</v>
      </c>
      <c r="F35" s="200" t="s">
        <v>264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>
        <v>0</v>
      </c>
      <c r="R35" s="137">
        <v>32100</v>
      </c>
      <c r="S35" s="137">
        <f t="shared" si="13"/>
        <v>32100</v>
      </c>
    </row>
    <row r="36" spans="1:19" s="132" customFormat="1" ht="24" customHeight="1">
      <c r="A36" s="139">
        <v>854</v>
      </c>
      <c r="B36" s="139">
        <v>85412</v>
      </c>
      <c r="C36" s="139">
        <v>2360</v>
      </c>
      <c r="D36" s="207" t="s">
        <v>472</v>
      </c>
      <c r="E36" s="207" t="s">
        <v>473</v>
      </c>
      <c r="F36" s="200" t="s">
        <v>264</v>
      </c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>
        <v>0</v>
      </c>
      <c r="R36" s="137">
        <v>7900</v>
      </c>
      <c r="S36" s="137">
        <f t="shared" si="13"/>
        <v>7900</v>
      </c>
    </row>
    <row r="37" spans="1:19" s="132" customFormat="1" ht="33.75">
      <c r="A37" s="139">
        <v>926</v>
      </c>
      <c r="B37" s="139">
        <v>92605</v>
      </c>
      <c r="C37" s="139">
        <v>2360</v>
      </c>
      <c r="D37" s="215" t="s">
        <v>367</v>
      </c>
      <c r="E37" s="215" t="s">
        <v>366</v>
      </c>
      <c r="F37" s="200" t="s">
        <v>264</v>
      </c>
      <c r="G37" s="150"/>
      <c r="H37" s="150"/>
      <c r="I37" s="137">
        <v>0</v>
      </c>
      <c r="J37" s="150">
        <v>3000</v>
      </c>
      <c r="K37" s="137">
        <f t="shared" si="9"/>
        <v>3000</v>
      </c>
      <c r="L37" s="150"/>
      <c r="M37" s="137">
        <f t="shared" si="10"/>
        <v>3000</v>
      </c>
      <c r="N37" s="150"/>
      <c r="O37" s="137">
        <f t="shared" si="11"/>
        <v>3000</v>
      </c>
      <c r="P37" s="150"/>
      <c r="Q37" s="137">
        <f aca="true" t="shared" si="14" ref="Q37:Q50">SUM(O37:P37)</f>
        <v>3000</v>
      </c>
      <c r="R37" s="150"/>
      <c r="S37" s="137">
        <f t="shared" si="13"/>
        <v>3000</v>
      </c>
    </row>
    <row r="38" spans="1:19" s="132" customFormat="1" ht="33.75">
      <c r="A38" s="139">
        <v>926</v>
      </c>
      <c r="B38" s="139">
        <v>92605</v>
      </c>
      <c r="C38" s="139">
        <v>2360</v>
      </c>
      <c r="D38" s="215" t="s">
        <v>368</v>
      </c>
      <c r="E38" s="215" t="s">
        <v>366</v>
      </c>
      <c r="F38" s="200" t="s">
        <v>264</v>
      </c>
      <c r="G38" s="150"/>
      <c r="H38" s="150"/>
      <c r="I38" s="137">
        <v>0</v>
      </c>
      <c r="J38" s="150">
        <v>3000</v>
      </c>
      <c r="K38" s="137">
        <f t="shared" si="9"/>
        <v>3000</v>
      </c>
      <c r="L38" s="150"/>
      <c r="M38" s="137">
        <f t="shared" si="10"/>
        <v>3000</v>
      </c>
      <c r="N38" s="150"/>
      <c r="O38" s="137">
        <f t="shared" si="11"/>
        <v>3000</v>
      </c>
      <c r="P38" s="150"/>
      <c r="Q38" s="137">
        <f t="shared" si="14"/>
        <v>3000</v>
      </c>
      <c r="R38" s="150"/>
      <c r="S38" s="137">
        <f t="shared" si="13"/>
        <v>3000</v>
      </c>
    </row>
    <row r="39" spans="1:19" s="132" customFormat="1" ht="33.75">
      <c r="A39" s="139">
        <v>926</v>
      </c>
      <c r="B39" s="139">
        <v>92605</v>
      </c>
      <c r="C39" s="139">
        <v>2360</v>
      </c>
      <c r="D39" s="215" t="s">
        <v>369</v>
      </c>
      <c r="E39" s="215" t="s">
        <v>366</v>
      </c>
      <c r="F39" s="200" t="s">
        <v>264</v>
      </c>
      <c r="G39" s="150"/>
      <c r="H39" s="150"/>
      <c r="I39" s="137">
        <v>0</v>
      </c>
      <c r="J39" s="150">
        <v>4000</v>
      </c>
      <c r="K39" s="137">
        <f t="shared" si="9"/>
        <v>4000</v>
      </c>
      <c r="L39" s="150"/>
      <c r="M39" s="137">
        <f t="shared" si="10"/>
        <v>4000</v>
      </c>
      <c r="N39" s="150"/>
      <c r="O39" s="137">
        <f t="shared" si="11"/>
        <v>4000</v>
      </c>
      <c r="P39" s="150"/>
      <c r="Q39" s="137">
        <f t="shared" si="14"/>
        <v>4000</v>
      </c>
      <c r="R39" s="150"/>
      <c r="S39" s="137">
        <f t="shared" si="13"/>
        <v>4000</v>
      </c>
    </row>
    <row r="40" spans="1:19" s="132" customFormat="1" ht="28.5" customHeight="1">
      <c r="A40" s="139">
        <v>926</v>
      </c>
      <c r="B40" s="139">
        <v>92605</v>
      </c>
      <c r="C40" s="139">
        <v>2360</v>
      </c>
      <c r="D40" s="215" t="s">
        <v>371</v>
      </c>
      <c r="E40" s="215" t="s">
        <v>370</v>
      </c>
      <c r="F40" s="200" t="s">
        <v>264</v>
      </c>
      <c r="G40" s="150"/>
      <c r="H40" s="150"/>
      <c r="I40" s="137">
        <v>0</v>
      </c>
      <c r="J40" s="150">
        <v>100000</v>
      </c>
      <c r="K40" s="137">
        <f t="shared" si="9"/>
        <v>100000</v>
      </c>
      <c r="L40" s="150"/>
      <c r="M40" s="137">
        <f t="shared" si="10"/>
        <v>100000</v>
      </c>
      <c r="N40" s="150"/>
      <c r="O40" s="137">
        <f t="shared" si="11"/>
        <v>100000</v>
      </c>
      <c r="P40" s="150"/>
      <c r="Q40" s="137">
        <f t="shared" si="14"/>
        <v>100000</v>
      </c>
      <c r="R40" s="150"/>
      <c r="S40" s="137">
        <f t="shared" si="13"/>
        <v>100000</v>
      </c>
    </row>
    <row r="41" spans="1:19" s="132" customFormat="1" ht="28.5" customHeight="1">
      <c r="A41" s="139">
        <v>926</v>
      </c>
      <c r="B41" s="139">
        <v>92605</v>
      </c>
      <c r="C41" s="139">
        <v>2360</v>
      </c>
      <c r="D41" s="215" t="s">
        <v>372</v>
      </c>
      <c r="E41" s="215" t="s">
        <v>370</v>
      </c>
      <c r="F41" s="200" t="s">
        <v>264</v>
      </c>
      <c r="G41" s="150"/>
      <c r="H41" s="150"/>
      <c r="I41" s="137">
        <v>0</v>
      </c>
      <c r="J41" s="150">
        <v>180000</v>
      </c>
      <c r="K41" s="137">
        <f t="shared" si="9"/>
        <v>180000</v>
      </c>
      <c r="L41" s="150"/>
      <c r="M41" s="137">
        <f t="shared" si="10"/>
        <v>180000</v>
      </c>
      <c r="N41" s="150"/>
      <c r="O41" s="137">
        <f t="shared" si="11"/>
        <v>180000</v>
      </c>
      <c r="P41" s="150"/>
      <c r="Q41" s="137">
        <f t="shared" si="14"/>
        <v>180000</v>
      </c>
      <c r="R41" s="150"/>
      <c r="S41" s="137">
        <f t="shared" si="13"/>
        <v>180000</v>
      </c>
    </row>
    <row r="42" spans="1:19" s="132" customFormat="1" ht="28.5" customHeight="1">
      <c r="A42" s="139">
        <v>926</v>
      </c>
      <c r="B42" s="139">
        <v>92605</v>
      </c>
      <c r="C42" s="139">
        <v>2360</v>
      </c>
      <c r="D42" s="215" t="s">
        <v>373</v>
      </c>
      <c r="E42" s="215" t="s">
        <v>370</v>
      </c>
      <c r="F42" s="200" t="s">
        <v>264</v>
      </c>
      <c r="G42" s="150"/>
      <c r="H42" s="150"/>
      <c r="I42" s="137">
        <v>0</v>
      </c>
      <c r="J42" s="150">
        <v>7000</v>
      </c>
      <c r="K42" s="137">
        <f t="shared" si="9"/>
        <v>7000</v>
      </c>
      <c r="L42" s="150"/>
      <c r="M42" s="137">
        <f t="shared" si="10"/>
        <v>7000</v>
      </c>
      <c r="N42" s="150"/>
      <c r="O42" s="137">
        <f t="shared" si="11"/>
        <v>7000</v>
      </c>
      <c r="P42" s="150"/>
      <c r="Q42" s="137">
        <f t="shared" si="14"/>
        <v>7000</v>
      </c>
      <c r="R42" s="150"/>
      <c r="S42" s="137">
        <f t="shared" si="13"/>
        <v>7000</v>
      </c>
    </row>
    <row r="43" spans="1:19" s="132" customFormat="1" ht="28.5" customHeight="1">
      <c r="A43" s="139">
        <v>926</v>
      </c>
      <c r="B43" s="139">
        <v>92605</v>
      </c>
      <c r="C43" s="139">
        <v>2360</v>
      </c>
      <c r="D43" s="215" t="s">
        <v>374</v>
      </c>
      <c r="E43" s="215" t="s">
        <v>370</v>
      </c>
      <c r="F43" s="200" t="s">
        <v>264</v>
      </c>
      <c r="G43" s="150"/>
      <c r="H43" s="150"/>
      <c r="I43" s="137">
        <v>0</v>
      </c>
      <c r="J43" s="150">
        <v>18000</v>
      </c>
      <c r="K43" s="137">
        <f t="shared" si="9"/>
        <v>18000</v>
      </c>
      <c r="L43" s="150"/>
      <c r="M43" s="137">
        <f t="shared" si="10"/>
        <v>18000</v>
      </c>
      <c r="N43" s="150"/>
      <c r="O43" s="137">
        <f t="shared" si="11"/>
        <v>18000</v>
      </c>
      <c r="P43" s="150"/>
      <c r="Q43" s="137">
        <f t="shared" si="14"/>
        <v>18000</v>
      </c>
      <c r="R43" s="150"/>
      <c r="S43" s="137">
        <f t="shared" si="13"/>
        <v>18000</v>
      </c>
    </row>
    <row r="44" spans="1:19" s="132" customFormat="1" ht="28.5" customHeight="1">
      <c r="A44" s="139">
        <v>926</v>
      </c>
      <c r="B44" s="139">
        <v>92605</v>
      </c>
      <c r="C44" s="139">
        <v>2360</v>
      </c>
      <c r="D44" s="215" t="s">
        <v>375</v>
      </c>
      <c r="E44" s="215" t="s">
        <v>370</v>
      </c>
      <c r="F44" s="200" t="s">
        <v>264</v>
      </c>
      <c r="G44" s="150"/>
      <c r="H44" s="150"/>
      <c r="I44" s="137">
        <v>0</v>
      </c>
      <c r="J44" s="150">
        <v>16000</v>
      </c>
      <c r="K44" s="137">
        <f t="shared" si="9"/>
        <v>16000</v>
      </c>
      <c r="L44" s="150"/>
      <c r="M44" s="137">
        <f t="shared" si="10"/>
        <v>16000</v>
      </c>
      <c r="N44" s="150"/>
      <c r="O44" s="137">
        <f t="shared" si="11"/>
        <v>16000</v>
      </c>
      <c r="P44" s="150"/>
      <c r="Q44" s="137">
        <f t="shared" si="14"/>
        <v>16000</v>
      </c>
      <c r="R44" s="150"/>
      <c r="S44" s="137">
        <f t="shared" si="13"/>
        <v>16000</v>
      </c>
    </row>
    <row r="45" spans="1:19" s="132" customFormat="1" ht="28.5" customHeight="1">
      <c r="A45" s="139">
        <v>926</v>
      </c>
      <c r="B45" s="139">
        <v>92605</v>
      </c>
      <c r="C45" s="139">
        <v>2360</v>
      </c>
      <c r="D45" s="215" t="s">
        <v>376</v>
      </c>
      <c r="E45" s="215" t="s">
        <v>370</v>
      </c>
      <c r="F45" s="200" t="s">
        <v>264</v>
      </c>
      <c r="G45" s="150"/>
      <c r="H45" s="150"/>
      <c r="I45" s="137">
        <v>0</v>
      </c>
      <c r="J45" s="150">
        <v>7000</v>
      </c>
      <c r="K45" s="137">
        <f t="shared" si="9"/>
        <v>7000</v>
      </c>
      <c r="L45" s="150"/>
      <c r="M45" s="137">
        <f t="shared" si="10"/>
        <v>7000</v>
      </c>
      <c r="N45" s="150"/>
      <c r="O45" s="137">
        <f t="shared" si="11"/>
        <v>7000</v>
      </c>
      <c r="P45" s="150"/>
      <c r="Q45" s="137">
        <f t="shared" si="14"/>
        <v>7000</v>
      </c>
      <c r="R45" s="150"/>
      <c r="S45" s="137">
        <f t="shared" si="13"/>
        <v>7000</v>
      </c>
    </row>
    <row r="46" spans="1:19" s="132" customFormat="1" ht="33.75">
      <c r="A46" s="139">
        <v>926</v>
      </c>
      <c r="B46" s="139">
        <v>92605</v>
      </c>
      <c r="C46" s="139">
        <v>2360</v>
      </c>
      <c r="D46" s="215" t="s">
        <v>378</v>
      </c>
      <c r="E46" s="215" t="s">
        <v>377</v>
      </c>
      <c r="F46" s="200" t="s">
        <v>264</v>
      </c>
      <c r="G46" s="150"/>
      <c r="H46" s="150"/>
      <c r="I46" s="137">
        <v>0</v>
      </c>
      <c r="J46" s="150">
        <v>12000</v>
      </c>
      <c r="K46" s="137">
        <f t="shared" si="9"/>
        <v>12000</v>
      </c>
      <c r="L46" s="150"/>
      <c r="M46" s="137">
        <f t="shared" si="10"/>
        <v>12000</v>
      </c>
      <c r="N46" s="150"/>
      <c r="O46" s="137">
        <f t="shared" si="11"/>
        <v>12000</v>
      </c>
      <c r="P46" s="150"/>
      <c r="Q46" s="137">
        <f t="shared" si="14"/>
        <v>12000</v>
      </c>
      <c r="R46" s="150"/>
      <c r="S46" s="137">
        <f t="shared" si="13"/>
        <v>12000</v>
      </c>
    </row>
    <row r="47" spans="1:19" s="132" customFormat="1" ht="28.5" customHeight="1">
      <c r="A47" s="139">
        <v>926</v>
      </c>
      <c r="B47" s="139">
        <v>92605</v>
      </c>
      <c r="C47" s="139">
        <v>2360</v>
      </c>
      <c r="D47" s="215" t="s">
        <v>379</v>
      </c>
      <c r="E47" s="215" t="s">
        <v>381</v>
      </c>
      <c r="F47" s="200" t="s">
        <v>264</v>
      </c>
      <c r="G47" s="150"/>
      <c r="H47" s="150"/>
      <c r="I47" s="137">
        <v>0</v>
      </c>
      <c r="J47" s="150">
        <v>1500</v>
      </c>
      <c r="K47" s="137">
        <f t="shared" si="9"/>
        <v>1500</v>
      </c>
      <c r="L47" s="150"/>
      <c r="M47" s="137">
        <f t="shared" si="10"/>
        <v>1500</v>
      </c>
      <c r="N47" s="150"/>
      <c r="O47" s="137">
        <f t="shared" si="11"/>
        <v>1500</v>
      </c>
      <c r="P47" s="150"/>
      <c r="Q47" s="137">
        <f t="shared" si="14"/>
        <v>1500</v>
      </c>
      <c r="R47" s="150"/>
      <c r="S47" s="137">
        <f t="shared" si="13"/>
        <v>1500</v>
      </c>
    </row>
    <row r="48" spans="1:19" s="132" customFormat="1" ht="28.5" customHeight="1">
      <c r="A48" s="139">
        <v>926</v>
      </c>
      <c r="B48" s="139">
        <v>92605</v>
      </c>
      <c r="C48" s="139">
        <v>2360</v>
      </c>
      <c r="D48" s="215" t="s">
        <v>380</v>
      </c>
      <c r="E48" s="215" t="s">
        <v>381</v>
      </c>
      <c r="F48" s="200" t="s">
        <v>264</v>
      </c>
      <c r="G48" s="150"/>
      <c r="H48" s="150"/>
      <c r="I48" s="137">
        <v>0</v>
      </c>
      <c r="J48" s="150">
        <v>1000</v>
      </c>
      <c r="K48" s="137">
        <f t="shared" si="9"/>
        <v>1000</v>
      </c>
      <c r="L48" s="150"/>
      <c r="M48" s="137">
        <f t="shared" si="10"/>
        <v>1000</v>
      </c>
      <c r="N48" s="150"/>
      <c r="O48" s="137">
        <f t="shared" si="11"/>
        <v>1000</v>
      </c>
      <c r="P48" s="150"/>
      <c r="Q48" s="137">
        <f t="shared" si="14"/>
        <v>1000</v>
      </c>
      <c r="R48" s="150"/>
      <c r="S48" s="137">
        <f t="shared" si="13"/>
        <v>1000</v>
      </c>
    </row>
    <row r="49" spans="1:19" s="132" customFormat="1" ht="28.5" customHeight="1">
      <c r="A49" s="139">
        <v>926</v>
      </c>
      <c r="B49" s="139">
        <v>92605</v>
      </c>
      <c r="C49" s="139">
        <v>2360</v>
      </c>
      <c r="D49" s="215" t="s">
        <v>378</v>
      </c>
      <c r="E49" s="215" t="s">
        <v>381</v>
      </c>
      <c r="F49" s="200" t="s">
        <v>264</v>
      </c>
      <c r="G49" s="150"/>
      <c r="H49" s="150"/>
      <c r="I49" s="137">
        <v>0</v>
      </c>
      <c r="J49" s="150">
        <v>5000</v>
      </c>
      <c r="K49" s="137">
        <f t="shared" si="9"/>
        <v>5000</v>
      </c>
      <c r="L49" s="150"/>
      <c r="M49" s="137">
        <f t="shared" si="10"/>
        <v>5000</v>
      </c>
      <c r="N49" s="150"/>
      <c r="O49" s="137">
        <f t="shared" si="11"/>
        <v>5000</v>
      </c>
      <c r="P49" s="150"/>
      <c r="Q49" s="137">
        <f t="shared" si="14"/>
        <v>5000</v>
      </c>
      <c r="R49" s="150"/>
      <c r="S49" s="137">
        <f t="shared" si="13"/>
        <v>5000</v>
      </c>
    </row>
    <row r="50" spans="1:19" s="132" customFormat="1" ht="28.5" customHeight="1">
      <c r="A50" s="139">
        <v>926</v>
      </c>
      <c r="B50" s="139">
        <v>92605</v>
      </c>
      <c r="C50" s="139">
        <v>2360</v>
      </c>
      <c r="D50" s="215" t="s">
        <v>382</v>
      </c>
      <c r="E50" s="215" t="s">
        <v>381</v>
      </c>
      <c r="F50" s="200" t="s">
        <v>264</v>
      </c>
      <c r="G50" s="150"/>
      <c r="H50" s="150"/>
      <c r="I50" s="137">
        <v>0</v>
      </c>
      <c r="J50" s="150">
        <v>2500</v>
      </c>
      <c r="K50" s="137">
        <f t="shared" si="9"/>
        <v>2500</v>
      </c>
      <c r="L50" s="150"/>
      <c r="M50" s="137">
        <f t="shared" si="10"/>
        <v>2500</v>
      </c>
      <c r="N50" s="150"/>
      <c r="O50" s="137">
        <f t="shared" si="11"/>
        <v>2500</v>
      </c>
      <c r="P50" s="150"/>
      <c r="Q50" s="137">
        <f t="shared" si="14"/>
        <v>2500</v>
      </c>
      <c r="R50" s="150"/>
      <c r="S50" s="137">
        <f t="shared" si="13"/>
        <v>2500</v>
      </c>
    </row>
    <row r="51" spans="1:19" ht="19.5" customHeight="1">
      <c r="A51" s="161"/>
      <c r="B51" s="161"/>
      <c r="C51" s="161"/>
      <c r="D51" s="161"/>
      <c r="E51" s="161"/>
      <c r="F51" s="182" t="s">
        <v>65</v>
      </c>
      <c r="G51" s="162">
        <f>SUM(G27:G33)</f>
        <v>1640503</v>
      </c>
      <c r="H51" s="162">
        <f>SUM(H27:H33)</f>
        <v>0</v>
      </c>
      <c r="I51" s="162">
        <f>SUM(I27:I50)</f>
        <v>1640503</v>
      </c>
      <c r="J51" s="162">
        <f>SUM(J27:J50)</f>
        <v>360000</v>
      </c>
      <c r="K51" s="162">
        <f>SUM(K27:K50)</f>
        <v>2000503</v>
      </c>
      <c r="L51" s="162"/>
      <c r="M51" s="162">
        <f aca="true" t="shared" si="15" ref="M51:S51">SUM(M27:M50)</f>
        <v>2000503</v>
      </c>
      <c r="N51" s="162">
        <f t="shared" si="15"/>
        <v>34495</v>
      </c>
      <c r="O51" s="162">
        <f t="shared" si="15"/>
        <v>2034998</v>
      </c>
      <c r="P51" s="162">
        <f t="shared" si="15"/>
        <v>8168</v>
      </c>
      <c r="Q51" s="162">
        <f t="shared" si="15"/>
        <v>2043166</v>
      </c>
      <c r="R51" s="162">
        <f t="shared" si="15"/>
        <v>40000</v>
      </c>
      <c r="S51" s="162">
        <f t="shared" si="15"/>
        <v>2083166</v>
      </c>
    </row>
    <row r="52" spans="1:19" ht="21.75" customHeight="1">
      <c r="A52" s="128"/>
      <c r="B52" s="128"/>
      <c r="C52" s="128"/>
      <c r="D52" s="128"/>
      <c r="E52" s="259" t="s">
        <v>306</v>
      </c>
      <c r="F52" s="259"/>
      <c r="G52" s="181">
        <f aca="true" t="shared" si="16" ref="G52:O52">SUM(G24,G51)</f>
        <v>4320578</v>
      </c>
      <c r="H52" s="181">
        <f t="shared" si="16"/>
        <v>49100</v>
      </c>
      <c r="I52" s="181">
        <f t="shared" si="16"/>
        <v>4369678</v>
      </c>
      <c r="J52" s="181">
        <f t="shared" si="16"/>
        <v>378000</v>
      </c>
      <c r="K52" s="181">
        <f t="shared" si="16"/>
        <v>4747678</v>
      </c>
      <c r="L52" s="181">
        <f t="shared" si="16"/>
        <v>-70000</v>
      </c>
      <c r="M52" s="181">
        <f t="shared" si="16"/>
        <v>4677678</v>
      </c>
      <c r="N52" s="181">
        <f t="shared" si="16"/>
        <v>68665</v>
      </c>
      <c r="O52" s="181">
        <f t="shared" si="16"/>
        <v>4746343</v>
      </c>
      <c r="P52" s="181">
        <f>SUM(P24,P51)</f>
        <v>43068</v>
      </c>
      <c r="Q52" s="181">
        <f>SUM(Q24,Q51)</f>
        <v>4789411</v>
      </c>
      <c r="R52" s="181">
        <f>SUM(R24,R51)</f>
        <v>40000</v>
      </c>
      <c r="S52" s="181">
        <f>SUM(S24,S51)</f>
        <v>4829411</v>
      </c>
    </row>
    <row r="54" spans="1:19" ht="20.25">
      <c r="A54" s="198" t="s">
        <v>302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</row>
    <row r="55" spans="1:19" ht="27.75" customHeight="1">
      <c r="A55" s="261" t="s">
        <v>303</v>
      </c>
      <c r="B55" s="261"/>
      <c r="C55" s="261"/>
      <c r="D55" s="261"/>
      <c r="E55" s="261"/>
      <c r="F55" s="261"/>
      <c r="G55" s="261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 s="6" t="s">
        <v>0</v>
      </c>
      <c r="B56" s="6" t="s">
        <v>1</v>
      </c>
      <c r="C56" s="6" t="s">
        <v>2</v>
      </c>
      <c r="D56" s="6" t="s">
        <v>225</v>
      </c>
      <c r="E56" s="6" t="s">
        <v>226</v>
      </c>
      <c r="F56" s="6" t="s">
        <v>262</v>
      </c>
      <c r="G56" s="10" t="s">
        <v>227</v>
      </c>
      <c r="H56" s="10" t="s">
        <v>337</v>
      </c>
      <c r="I56" s="10" t="s">
        <v>227</v>
      </c>
      <c r="J56" s="10" t="s">
        <v>337</v>
      </c>
      <c r="K56" s="10" t="s">
        <v>227</v>
      </c>
      <c r="L56" s="10" t="s">
        <v>337</v>
      </c>
      <c r="M56" s="10" t="s">
        <v>227</v>
      </c>
      <c r="N56" s="10" t="s">
        <v>337</v>
      </c>
      <c r="O56" s="10" t="s">
        <v>227</v>
      </c>
      <c r="P56" s="10" t="s">
        <v>337</v>
      </c>
      <c r="Q56" s="10" t="s">
        <v>227</v>
      </c>
      <c r="R56" s="10" t="s">
        <v>337</v>
      </c>
      <c r="S56" s="10" t="s">
        <v>227</v>
      </c>
    </row>
    <row r="57" spans="1:19" s="26" customFormat="1" ht="33.75">
      <c r="A57" s="50">
        <v>600</v>
      </c>
      <c r="B57" s="50">
        <v>60014</v>
      </c>
      <c r="C57" s="50">
        <v>6300</v>
      </c>
      <c r="D57" s="217" t="s">
        <v>304</v>
      </c>
      <c r="E57" s="41" t="s">
        <v>325</v>
      </c>
      <c r="F57" s="218" t="s">
        <v>264</v>
      </c>
      <c r="G57" s="83">
        <v>81115</v>
      </c>
      <c r="H57" s="83"/>
      <c r="I57" s="83">
        <f>SUM(G57:H57)</f>
        <v>81115</v>
      </c>
      <c r="J57" s="83"/>
      <c r="K57" s="83">
        <f>SUM(I57:J57)</f>
        <v>81115</v>
      </c>
      <c r="L57" s="83"/>
      <c r="M57" s="83">
        <f>SUM(K57:L57)</f>
        <v>81115</v>
      </c>
      <c r="N57" s="83"/>
      <c r="O57" s="83">
        <f>SUM(M57:N57)</f>
        <v>81115</v>
      </c>
      <c r="P57" s="83"/>
      <c r="Q57" s="83">
        <f>SUM(O57:P57)</f>
        <v>81115</v>
      </c>
      <c r="R57" s="83"/>
      <c r="S57" s="83">
        <f>SUM(Q57:R57)</f>
        <v>81115</v>
      </c>
    </row>
    <row r="58" spans="1:19" s="26" customFormat="1" ht="33.75">
      <c r="A58" s="50">
        <v>600</v>
      </c>
      <c r="B58" s="50">
        <v>60014</v>
      </c>
      <c r="C58" s="50">
        <v>6300</v>
      </c>
      <c r="D58" s="217" t="s">
        <v>304</v>
      </c>
      <c r="E58" s="14" t="s">
        <v>309</v>
      </c>
      <c r="F58" s="218" t="s">
        <v>264</v>
      </c>
      <c r="G58" s="83">
        <v>127220</v>
      </c>
      <c r="H58" s="83"/>
      <c r="I58" s="83">
        <f>SUM(G58:H58)</f>
        <v>127220</v>
      </c>
      <c r="J58" s="83"/>
      <c r="K58" s="83">
        <f>SUM(I58:J58)</f>
        <v>127220</v>
      </c>
      <c r="L58" s="83"/>
      <c r="M58" s="83">
        <f>SUM(K58:L58)</f>
        <v>127220</v>
      </c>
      <c r="N58" s="83"/>
      <c r="O58" s="83">
        <f>SUM(M58:N58)</f>
        <v>127220</v>
      </c>
      <c r="P58" s="83"/>
      <c r="Q58" s="83">
        <f>SUM(O58:P58)</f>
        <v>127220</v>
      </c>
      <c r="R58" s="83"/>
      <c r="S58" s="83">
        <f>SUM(Q58:R58)</f>
        <v>127220</v>
      </c>
    </row>
    <row r="59" spans="1:19" s="26" customFormat="1" ht="22.5">
      <c r="A59" s="50">
        <v>754</v>
      </c>
      <c r="B59" s="50">
        <v>75411</v>
      </c>
      <c r="C59" s="50">
        <v>6620</v>
      </c>
      <c r="D59" s="217" t="s">
        <v>304</v>
      </c>
      <c r="E59" s="14" t="s">
        <v>353</v>
      </c>
      <c r="F59" s="218" t="s">
        <v>264</v>
      </c>
      <c r="G59" s="83">
        <v>0</v>
      </c>
      <c r="H59" s="83">
        <v>25000</v>
      </c>
      <c r="I59" s="83">
        <f>SUM(G59:H59)</f>
        <v>25000</v>
      </c>
      <c r="J59" s="83"/>
      <c r="K59" s="83">
        <f>SUM(I59:J59)</f>
        <v>25000</v>
      </c>
      <c r="L59" s="83">
        <v>-25000</v>
      </c>
      <c r="M59" s="83">
        <f>SUM(K59:L59)</f>
        <v>0</v>
      </c>
      <c r="N59" s="83"/>
      <c r="O59" s="83">
        <f>SUM(M59:N59)</f>
        <v>0</v>
      </c>
      <c r="P59" s="83"/>
      <c r="Q59" s="83">
        <f>SUM(O59:P59)</f>
        <v>0</v>
      </c>
      <c r="R59" s="83"/>
      <c r="S59" s="83">
        <f>SUM(Q59:R59)</f>
        <v>0</v>
      </c>
    </row>
    <row r="60" spans="5:19" ht="21.75" customHeight="1">
      <c r="E60" s="259" t="s">
        <v>305</v>
      </c>
      <c r="F60" s="259"/>
      <c r="G60" s="183">
        <f aca="true" t="shared" si="17" ref="G60:M60">SUM(G57:G59)</f>
        <v>208335</v>
      </c>
      <c r="H60" s="183">
        <f t="shared" si="17"/>
        <v>25000</v>
      </c>
      <c r="I60" s="183">
        <f t="shared" si="17"/>
        <v>233335</v>
      </c>
      <c r="J60" s="183">
        <f t="shared" si="17"/>
        <v>0</v>
      </c>
      <c r="K60" s="183">
        <f t="shared" si="17"/>
        <v>233335</v>
      </c>
      <c r="L60" s="183">
        <f t="shared" si="17"/>
        <v>-25000</v>
      </c>
      <c r="M60" s="183">
        <f t="shared" si="17"/>
        <v>208335</v>
      </c>
      <c r="N60" s="183">
        <f aca="true" t="shared" si="18" ref="N60:S60">SUM(N57:N59)</f>
        <v>0</v>
      </c>
      <c r="O60" s="183">
        <f t="shared" si="18"/>
        <v>208335</v>
      </c>
      <c r="P60" s="183">
        <f t="shared" si="18"/>
        <v>0</v>
      </c>
      <c r="Q60" s="183">
        <f t="shared" si="18"/>
        <v>208335</v>
      </c>
      <c r="R60" s="183">
        <f t="shared" si="18"/>
        <v>0</v>
      </c>
      <c r="S60" s="183">
        <f t="shared" si="18"/>
        <v>208335</v>
      </c>
    </row>
    <row r="61" spans="5:19" ht="15.75">
      <c r="E61" s="185" t="s">
        <v>335</v>
      </c>
      <c r="F61" s="185"/>
      <c r="G61" s="186">
        <f>SUM(G52,G60,)</f>
        <v>4528913</v>
      </c>
      <c r="H61" s="186">
        <f>SUM(H52,H60,)</f>
        <v>74100</v>
      </c>
      <c r="I61" s="199">
        <f>SUM(G61:H61)</f>
        <v>4603013</v>
      </c>
      <c r="J61" s="199">
        <f>SUM(J52,J60,)</f>
        <v>378000</v>
      </c>
      <c r="K61" s="199">
        <f>SUM(I61:J61)</f>
        <v>4981013</v>
      </c>
      <c r="L61" s="199">
        <f>SUM(L52,L60,)</f>
        <v>-95000</v>
      </c>
      <c r="M61" s="199">
        <f>SUM(K61:L61)</f>
        <v>4886013</v>
      </c>
      <c r="N61" s="199">
        <f>SUM(N52,N60,)</f>
        <v>68665</v>
      </c>
      <c r="O61" s="199">
        <f>SUM(M61:N61)</f>
        <v>4954678</v>
      </c>
      <c r="P61" s="199">
        <f>SUM(P52,P60,)</f>
        <v>43068</v>
      </c>
      <c r="Q61" s="199">
        <f>SUM(O61:P61)</f>
        <v>4997746</v>
      </c>
      <c r="R61" s="199">
        <f>SUM(R52,R60,)</f>
        <v>40000</v>
      </c>
      <c r="S61" s="199">
        <f>SUM(Q61:R61)</f>
        <v>5037746</v>
      </c>
    </row>
  </sheetData>
  <sheetProtection/>
  <mergeCells count="7">
    <mergeCell ref="A5:K5"/>
    <mergeCell ref="E60:F60"/>
    <mergeCell ref="A6:I6"/>
    <mergeCell ref="A7:G7"/>
    <mergeCell ref="A26:G26"/>
    <mergeCell ref="E52:F52"/>
    <mergeCell ref="A55:G55"/>
  </mergeCells>
  <printOptions horizontalCentered="1"/>
  <pageMargins left="0.31496062992125984" right="0.31496062992125984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4.875" style="9" customWidth="1"/>
    <col min="2" max="2" width="7.25390625" style="9" bestFit="1" customWidth="1"/>
    <col min="3" max="3" width="5.00390625" style="9" bestFit="1" customWidth="1"/>
    <col min="4" max="4" width="37.625" style="9" customWidth="1"/>
    <col min="5" max="5" width="17.375" style="9" hidden="1" customWidth="1"/>
    <col min="6" max="6" width="18.00390625" style="9" hidden="1" customWidth="1"/>
    <col min="7" max="7" width="11.625" style="0" hidden="1" customWidth="1"/>
    <col min="8" max="8" width="10.625" style="9" hidden="1" customWidth="1"/>
    <col min="9" max="9" width="10.625" style="0" hidden="1" customWidth="1"/>
    <col min="10" max="10" width="10.75390625" style="9" hidden="1" customWidth="1"/>
    <col min="11" max="11" width="12.375" style="0" customWidth="1"/>
    <col min="12" max="12" width="12.375" style="9" customWidth="1"/>
    <col min="13" max="13" width="12.00390625" style="0" customWidth="1"/>
  </cols>
  <sheetData>
    <row r="1" spans="4:13" ht="12.75">
      <c r="D1" s="235"/>
      <c r="E1" s="56" t="s">
        <v>223</v>
      </c>
      <c r="F1" s="56" t="s">
        <v>223</v>
      </c>
      <c r="G1" s="56"/>
      <c r="H1" s="235" t="s">
        <v>433</v>
      </c>
      <c r="I1" s="235"/>
      <c r="J1" s="235" t="s">
        <v>459</v>
      </c>
      <c r="K1" s="235" t="s">
        <v>477</v>
      </c>
      <c r="L1" s="235"/>
      <c r="M1" s="56"/>
    </row>
    <row r="2" spans="4:13" ht="12.75">
      <c r="D2" s="235"/>
      <c r="E2" s="56" t="s">
        <v>217</v>
      </c>
      <c r="F2" s="56" t="s">
        <v>356</v>
      </c>
      <c r="G2" s="56"/>
      <c r="H2" s="235" t="s">
        <v>434</v>
      </c>
      <c r="I2" s="235"/>
      <c r="J2" s="235" t="s">
        <v>458</v>
      </c>
      <c r="K2" s="235" t="s">
        <v>465</v>
      </c>
      <c r="L2" s="235"/>
      <c r="M2" s="56"/>
    </row>
    <row r="3" spans="4:13" ht="12.75">
      <c r="D3" s="235"/>
      <c r="E3" s="56" t="s">
        <v>144</v>
      </c>
      <c r="F3" s="56" t="s">
        <v>144</v>
      </c>
      <c r="G3" s="56"/>
      <c r="H3" s="235" t="s">
        <v>412</v>
      </c>
      <c r="I3" s="235"/>
      <c r="J3" s="235" t="s">
        <v>433</v>
      </c>
      <c r="K3" s="235" t="s">
        <v>459</v>
      </c>
      <c r="L3" s="235"/>
      <c r="M3" s="56"/>
    </row>
    <row r="4" spans="4:13" ht="12.75">
      <c r="D4" s="235"/>
      <c r="E4" s="56" t="s">
        <v>245</v>
      </c>
      <c r="F4" s="56" t="s">
        <v>357</v>
      </c>
      <c r="G4" s="56"/>
      <c r="H4" s="235" t="s">
        <v>413</v>
      </c>
      <c r="I4" s="235"/>
      <c r="J4" s="235" t="s">
        <v>447</v>
      </c>
      <c r="K4" s="235" t="s">
        <v>464</v>
      </c>
      <c r="L4" s="235"/>
      <c r="M4" s="56"/>
    </row>
    <row r="5" spans="1:13" ht="37.5" customHeight="1">
      <c r="A5" s="267" t="s">
        <v>329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6" spans="1:12" ht="27" customHeight="1">
      <c r="A6" s="265" t="s">
        <v>322</v>
      </c>
      <c r="B6" s="265"/>
      <c r="C6" s="265"/>
      <c r="D6" s="265"/>
      <c r="E6" s="265"/>
      <c r="F6"/>
      <c r="H6"/>
      <c r="J6"/>
      <c r="L6"/>
    </row>
    <row r="7" spans="1:13" ht="24">
      <c r="A7" s="13" t="s">
        <v>0</v>
      </c>
      <c r="B7" s="13" t="s">
        <v>1</v>
      </c>
      <c r="C7" s="13" t="s">
        <v>2</v>
      </c>
      <c r="D7" s="13" t="s">
        <v>3</v>
      </c>
      <c r="E7" s="120" t="s">
        <v>139</v>
      </c>
      <c r="F7" s="120" t="s">
        <v>336</v>
      </c>
      <c r="G7" s="101" t="s">
        <v>140</v>
      </c>
      <c r="H7" s="120" t="s">
        <v>336</v>
      </c>
      <c r="I7" s="101" t="s">
        <v>140</v>
      </c>
      <c r="J7" s="120" t="s">
        <v>336</v>
      </c>
      <c r="K7" s="101" t="s">
        <v>140</v>
      </c>
      <c r="L7" s="120" t="s">
        <v>336</v>
      </c>
      <c r="M7" s="101" t="s">
        <v>432</v>
      </c>
    </row>
    <row r="8" spans="1:13" s="8" customFormat="1" ht="24">
      <c r="A8" s="34" t="s">
        <v>124</v>
      </c>
      <c r="B8" s="7"/>
      <c r="C8" s="6"/>
      <c r="D8" s="21" t="s">
        <v>60</v>
      </c>
      <c r="E8" s="19">
        <f aca="true" t="shared" si="0" ref="E8:M9">SUM(E9)</f>
        <v>341000</v>
      </c>
      <c r="F8" s="19">
        <f t="shared" si="0"/>
        <v>0</v>
      </c>
      <c r="G8" s="19">
        <f t="shared" si="0"/>
        <v>341000</v>
      </c>
      <c r="H8" s="19">
        <f t="shared" si="0"/>
        <v>0</v>
      </c>
      <c r="I8" s="19">
        <f t="shared" si="0"/>
        <v>341000</v>
      </c>
      <c r="J8" s="19">
        <f t="shared" si="0"/>
        <v>0</v>
      </c>
      <c r="K8" s="19">
        <f t="shared" si="0"/>
        <v>341000</v>
      </c>
      <c r="L8" s="19">
        <f t="shared" si="0"/>
        <v>0</v>
      </c>
      <c r="M8" s="19">
        <f t="shared" si="0"/>
        <v>341000</v>
      </c>
    </row>
    <row r="9" spans="1:13" s="8" customFormat="1" ht="33.75">
      <c r="A9" s="3"/>
      <c r="B9" s="121">
        <v>90019</v>
      </c>
      <c r="C9" s="4"/>
      <c r="D9" s="41" t="s">
        <v>290</v>
      </c>
      <c r="E9" s="119">
        <f t="shared" si="0"/>
        <v>341000</v>
      </c>
      <c r="F9" s="119">
        <f t="shared" si="0"/>
        <v>0</v>
      </c>
      <c r="G9" s="119">
        <f t="shared" si="0"/>
        <v>341000</v>
      </c>
      <c r="H9" s="119">
        <f t="shared" si="0"/>
        <v>0</v>
      </c>
      <c r="I9" s="119">
        <f t="shared" si="0"/>
        <v>341000</v>
      </c>
      <c r="J9" s="119">
        <f t="shared" si="0"/>
        <v>0</v>
      </c>
      <c r="K9" s="119">
        <f t="shared" si="0"/>
        <v>341000</v>
      </c>
      <c r="L9" s="119">
        <f t="shared" si="0"/>
        <v>0</v>
      </c>
      <c r="M9" s="119">
        <f t="shared" si="0"/>
        <v>341000</v>
      </c>
    </row>
    <row r="10" spans="1:13" s="26" customFormat="1" ht="21" customHeight="1">
      <c r="A10" s="72"/>
      <c r="B10" s="76"/>
      <c r="C10" s="74" t="s">
        <v>181</v>
      </c>
      <c r="D10" s="14" t="s">
        <v>141</v>
      </c>
      <c r="E10" s="83">
        <v>341000</v>
      </c>
      <c r="F10" s="83"/>
      <c r="G10" s="103">
        <f>SUM(E10:F10)</f>
        <v>341000</v>
      </c>
      <c r="H10" s="83"/>
      <c r="I10" s="103">
        <f>SUM(G10:H10)</f>
        <v>341000</v>
      </c>
      <c r="J10" s="83"/>
      <c r="K10" s="103">
        <f>SUM(I10:J10)</f>
        <v>341000</v>
      </c>
      <c r="L10" s="83"/>
      <c r="M10" s="103">
        <f>SUM(K10:L10)</f>
        <v>341000</v>
      </c>
    </row>
    <row r="11" spans="1:13" ht="21" customHeight="1">
      <c r="A11" s="124"/>
      <c r="B11" s="20"/>
      <c r="C11" s="20"/>
      <c r="D11" s="13" t="s">
        <v>65</v>
      </c>
      <c r="E11" s="19">
        <f aca="true" t="shared" si="1" ref="E11:K11">SUM(E8)</f>
        <v>341000</v>
      </c>
      <c r="F11" s="19">
        <f t="shared" si="1"/>
        <v>0</v>
      </c>
      <c r="G11" s="19">
        <f t="shared" si="1"/>
        <v>341000</v>
      </c>
      <c r="H11" s="19">
        <f t="shared" si="1"/>
        <v>0</v>
      </c>
      <c r="I11" s="19">
        <f t="shared" si="1"/>
        <v>341000</v>
      </c>
      <c r="J11" s="19">
        <f t="shared" si="1"/>
        <v>0</v>
      </c>
      <c r="K11" s="19">
        <f t="shared" si="1"/>
        <v>341000</v>
      </c>
      <c r="L11" s="19">
        <f>SUM(L8)</f>
        <v>0</v>
      </c>
      <c r="M11" s="19">
        <f>SUM(M8)</f>
        <v>341000</v>
      </c>
    </row>
    <row r="12" spans="1:12" ht="21" customHeight="1">
      <c r="A12" s="266" t="s">
        <v>323</v>
      </c>
      <c r="B12" s="266"/>
      <c r="C12" s="266"/>
      <c r="D12" s="266"/>
      <c r="E12" s="266"/>
      <c r="F12"/>
      <c r="H12"/>
      <c r="J12"/>
      <c r="L12"/>
    </row>
    <row r="13" spans="1:13" ht="24">
      <c r="A13" s="13" t="s">
        <v>0</v>
      </c>
      <c r="B13" s="13" t="s">
        <v>1</v>
      </c>
      <c r="C13" s="13" t="s">
        <v>2</v>
      </c>
      <c r="D13" s="13" t="s">
        <v>3</v>
      </c>
      <c r="E13" s="120" t="s">
        <v>139</v>
      </c>
      <c r="F13" s="120" t="s">
        <v>336</v>
      </c>
      <c r="G13" s="101" t="s">
        <v>139</v>
      </c>
      <c r="H13" s="120" t="s">
        <v>336</v>
      </c>
      <c r="I13" s="101" t="s">
        <v>140</v>
      </c>
      <c r="J13" s="120" t="s">
        <v>336</v>
      </c>
      <c r="K13" s="101" t="s">
        <v>140</v>
      </c>
      <c r="L13" s="120" t="s">
        <v>336</v>
      </c>
      <c r="M13" s="101" t="s">
        <v>394</v>
      </c>
    </row>
    <row r="14" spans="1:13" s="8" customFormat="1" ht="24">
      <c r="A14" s="34" t="s">
        <v>124</v>
      </c>
      <c r="B14" s="7"/>
      <c r="C14" s="6"/>
      <c r="D14" s="21" t="s">
        <v>60</v>
      </c>
      <c r="E14" s="19">
        <f aca="true" t="shared" si="2" ref="E14:M14">SUM(E15)</f>
        <v>341000</v>
      </c>
      <c r="F14" s="19">
        <f t="shared" si="2"/>
        <v>0</v>
      </c>
      <c r="G14" s="19">
        <f t="shared" si="2"/>
        <v>341000</v>
      </c>
      <c r="H14" s="19">
        <f t="shared" si="2"/>
        <v>0</v>
      </c>
      <c r="I14" s="19">
        <f t="shared" si="2"/>
        <v>341000</v>
      </c>
      <c r="J14" s="19">
        <f t="shared" si="2"/>
        <v>0</v>
      </c>
      <c r="K14" s="19">
        <f t="shared" si="2"/>
        <v>341000</v>
      </c>
      <c r="L14" s="19">
        <f t="shared" si="2"/>
        <v>0</v>
      </c>
      <c r="M14" s="19">
        <f t="shared" si="2"/>
        <v>341000</v>
      </c>
    </row>
    <row r="15" spans="1:13" s="8" customFormat="1" ht="33.75">
      <c r="A15" s="3"/>
      <c r="B15" s="121">
        <v>90019</v>
      </c>
      <c r="C15" s="4"/>
      <c r="D15" s="41" t="s">
        <v>290</v>
      </c>
      <c r="E15" s="119">
        <f>SUM(E20,E27,E34)</f>
        <v>341000</v>
      </c>
      <c r="F15" s="119">
        <f>SUM(F20,F27,F34)</f>
        <v>0</v>
      </c>
      <c r="G15" s="119">
        <f>SUM(G20,G27,G34,G18)</f>
        <v>341000</v>
      </c>
      <c r="H15" s="119">
        <f>SUM(H20,H27,H34,H18)</f>
        <v>0</v>
      </c>
      <c r="I15" s="119">
        <f>SUM(I20,I27,I34,I18,I16)</f>
        <v>341000</v>
      </c>
      <c r="J15" s="119">
        <f>SUM(J20,J27,J34,J18,J16)</f>
        <v>0</v>
      </c>
      <c r="K15" s="119">
        <f>SUM(K20,K27,K34,K18,K16)</f>
        <v>341000</v>
      </c>
      <c r="L15" s="119">
        <f>SUM(L20,L27,L34,L18,L16)</f>
        <v>0</v>
      </c>
      <c r="M15" s="119">
        <f>SUM(M20,M27,M34,M18,M16)</f>
        <v>341000</v>
      </c>
    </row>
    <row r="16" spans="1:13" s="26" customFormat="1" ht="39" customHeight="1">
      <c r="A16" s="72"/>
      <c r="B16" s="76"/>
      <c r="C16" s="50">
        <v>2710</v>
      </c>
      <c r="D16" s="41" t="s">
        <v>344</v>
      </c>
      <c r="E16" s="83"/>
      <c r="F16" s="83"/>
      <c r="G16" s="83"/>
      <c r="H16" s="83"/>
      <c r="I16" s="83">
        <f>SUM(I17)</f>
        <v>0</v>
      </c>
      <c r="J16" s="83">
        <f>SUM(J17)</f>
        <v>20000</v>
      </c>
      <c r="K16" s="83">
        <f>SUM(K17)</f>
        <v>20000</v>
      </c>
      <c r="L16" s="83">
        <f>SUM(L17)</f>
        <v>0</v>
      </c>
      <c r="M16" s="83">
        <f>SUM(M17)</f>
        <v>20000</v>
      </c>
    </row>
    <row r="17" spans="1:13" s="26" customFormat="1" ht="54" customHeight="1">
      <c r="A17" s="72"/>
      <c r="B17" s="76"/>
      <c r="C17" s="50"/>
      <c r="D17" s="14" t="s">
        <v>450</v>
      </c>
      <c r="E17" s="83"/>
      <c r="F17" s="83"/>
      <c r="G17" s="83"/>
      <c r="H17" s="83"/>
      <c r="I17" s="83">
        <v>0</v>
      </c>
      <c r="J17" s="83">
        <v>20000</v>
      </c>
      <c r="K17" s="83">
        <f>SUM(I17:J17)</f>
        <v>20000</v>
      </c>
      <c r="L17" s="83"/>
      <c r="M17" s="83">
        <f>SUM(K17:L17)</f>
        <v>20000</v>
      </c>
    </row>
    <row r="18" spans="1:13" s="26" customFormat="1" ht="23.25" customHeight="1">
      <c r="A18" s="72"/>
      <c r="B18" s="76"/>
      <c r="C18" s="50">
        <v>4170</v>
      </c>
      <c r="D18" s="41" t="s">
        <v>193</v>
      </c>
      <c r="E18" s="83"/>
      <c r="F18" s="83"/>
      <c r="G18" s="83">
        <f aca="true" t="shared" si="3" ref="G18:M18">SUM(G19)</f>
        <v>0</v>
      </c>
      <c r="H18" s="83">
        <f t="shared" si="3"/>
        <v>1000</v>
      </c>
      <c r="I18" s="83">
        <f t="shared" si="3"/>
        <v>1000</v>
      </c>
      <c r="J18" s="83">
        <f t="shared" si="3"/>
        <v>0</v>
      </c>
      <c r="K18" s="83">
        <f t="shared" si="3"/>
        <v>1000</v>
      </c>
      <c r="L18" s="83">
        <f t="shared" si="3"/>
        <v>0</v>
      </c>
      <c r="M18" s="83">
        <f t="shared" si="3"/>
        <v>1000</v>
      </c>
    </row>
    <row r="19" spans="1:13" s="28" customFormat="1" ht="18.75" customHeight="1">
      <c r="A19" s="250"/>
      <c r="B19" s="46"/>
      <c r="C19" s="47"/>
      <c r="D19" s="251" t="s">
        <v>431</v>
      </c>
      <c r="E19" s="49"/>
      <c r="F19" s="49"/>
      <c r="G19" s="49">
        <v>0</v>
      </c>
      <c r="H19" s="49">
        <v>1000</v>
      </c>
      <c r="I19" s="49">
        <f>SUM(G19:H19)</f>
        <v>1000</v>
      </c>
      <c r="J19" s="49"/>
      <c r="K19" s="49">
        <f>SUM(I19:J19)</f>
        <v>1000</v>
      </c>
      <c r="L19" s="49"/>
      <c r="M19" s="49">
        <f>SUM(K19:L19)</f>
        <v>1000</v>
      </c>
    </row>
    <row r="20" spans="1:13" s="26" customFormat="1" ht="21" customHeight="1">
      <c r="A20" s="72"/>
      <c r="B20" s="76"/>
      <c r="C20" s="50">
        <v>4210</v>
      </c>
      <c r="D20" s="14" t="s">
        <v>70</v>
      </c>
      <c r="E20" s="83">
        <f aca="true" t="shared" si="4" ref="E20:K20">SUM(E21:E26)</f>
        <v>79000</v>
      </c>
      <c r="F20" s="83">
        <f t="shared" si="4"/>
        <v>0</v>
      </c>
      <c r="G20" s="83">
        <f t="shared" si="4"/>
        <v>79000</v>
      </c>
      <c r="H20" s="83">
        <f t="shared" si="4"/>
        <v>-1000</v>
      </c>
      <c r="I20" s="83">
        <f t="shared" si="4"/>
        <v>78000</v>
      </c>
      <c r="J20" s="83">
        <f t="shared" si="4"/>
        <v>0</v>
      </c>
      <c r="K20" s="83">
        <f t="shared" si="4"/>
        <v>78000</v>
      </c>
      <c r="L20" s="83">
        <f>SUM(L21:L26)</f>
        <v>-21500</v>
      </c>
      <c r="M20" s="83">
        <f>SUM(M21:M26)</f>
        <v>56500</v>
      </c>
    </row>
    <row r="21" spans="1:13" s="26" customFormat="1" ht="21" customHeight="1">
      <c r="A21" s="250"/>
      <c r="B21" s="46"/>
      <c r="C21" s="252"/>
      <c r="D21" s="48" t="s">
        <v>248</v>
      </c>
      <c r="E21" s="49">
        <v>3000</v>
      </c>
      <c r="F21" s="49"/>
      <c r="G21" s="123">
        <f aca="true" t="shared" si="5" ref="G21:G26">SUM(E21:F21)</f>
        <v>3000</v>
      </c>
      <c r="H21" s="49"/>
      <c r="I21" s="123">
        <f aca="true" t="shared" si="6" ref="I21:I26">SUM(G21:H21)</f>
        <v>3000</v>
      </c>
      <c r="J21" s="49"/>
      <c r="K21" s="123">
        <f aca="true" t="shared" si="7" ref="K21:K26">SUM(I21:J21)</f>
        <v>3000</v>
      </c>
      <c r="L21" s="49">
        <v>-1500</v>
      </c>
      <c r="M21" s="123">
        <f aca="true" t="shared" si="8" ref="M21:M26">SUM(K21:L21)</f>
        <v>1500</v>
      </c>
    </row>
    <row r="22" spans="1:13" s="26" customFormat="1" ht="21" customHeight="1">
      <c r="A22" s="250"/>
      <c r="B22" s="46"/>
      <c r="C22" s="252"/>
      <c r="D22" s="48" t="s">
        <v>249</v>
      </c>
      <c r="E22" s="49">
        <v>50000</v>
      </c>
      <c r="F22" s="49"/>
      <c r="G22" s="123">
        <f t="shared" si="5"/>
        <v>50000</v>
      </c>
      <c r="H22" s="49">
        <v>-1000</v>
      </c>
      <c r="I22" s="123">
        <f t="shared" si="6"/>
        <v>49000</v>
      </c>
      <c r="J22" s="49"/>
      <c r="K22" s="123">
        <f t="shared" si="7"/>
        <v>49000</v>
      </c>
      <c r="L22" s="49">
        <v>-20000</v>
      </c>
      <c r="M22" s="123">
        <f t="shared" si="8"/>
        <v>29000</v>
      </c>
    </row>
    <row r="23" spans="1:13" s="26" customFormat="1" ht="21" customHeight="1">
      <c r="A23" s="250"/>
      <c r="B23" s="46"/>
      <c r="C23" s="252"/>
      <c r="D23" s="48" t="s">
        <v>250</v>
      </c>
      <c r="E23" s="49">
        <v>5000</v>
      </c>
      <c r="F23" s="49"/>
      <c r="G23" s="123">
        <f t="shared" si="5"/>
        <v>5000</v>
      </c>
      <c r="H23" s="49"/>
      <c r="I23" s="123">
        <f t="shared" si="6"/>
        <v>5000</v>
      </c>
      <c r="J23" s="49"/>
      <c r="K23" s="123">
        <f t="shared" si="7"/>
        <v>5000</v>
      </c>
      <c r="L23" s="49"/>
      <c r="M23" s="123">
        <f t="shared" si="8"/>
        <v>5000</v>
      </c>
    </row>
    <row r="24" spans="1:13" s="26" customFormat="1" ht="21" customHeight="1">
      <c r="A24" s="250"/>
      <c r="B24" s="46"/>
      <c r="C24" s="252"/>
      <c r="D24" s="48" t="s">
        <v>270</v>
      </c>
      <c r="E24" s="49">
        <v>3000</v>
      </c>
      <c r="F24" s="49"/>
      <c r="G24" s="123">
        <f t="shared" si="5"/>
        <v>3000</v>
      </c>
      <c r="H24" s="49"/>
      <c r="I24" s="123">
        <f t="shared" si="6"/>
        <v>3000</v>
      </c>
      <c r="J24" s="49"/>
      <c r="K24" s="123">
        <f t="shared" si="7"/>
        <v>3000</v>
      </c>
      <c r="L24" s="49"/>
      <c r="M24" s="123">
        <f t="shared" si="8"/>
        <v>3000</v>
      </c>
    </row>
    <row r="25" spans="1:13" s="26" customFormat="1" ht="21" customHeight="1">
      <c r="A25" s="250"/>
      <c r="B25" s="46"/>
      <c r="C25" s="252"/>
      <c r="D25" s="48" t="s">
        <v>314</v>
      </c>
      <c r="E25" s="49">
        <v>15000</v>
      </c>
      <c r="F25" s="49"/>
      <c r="G25" s="123">
        <f t="shared" si="5"/>
        <v>15000</v>
      </c>
      <c r="H25" s="49"/>
      <c r="I25" s="123">
        <f t="shared" si="6"/>
        <v>15000</v>
      </c>
      <c r="J25" s="49"/>
      <c r="K25" s="123">
        <f t="shared" si="7"/>
        <v>15000</v>
      </c>
      <c r="L25" s="49"/>
      <c r="M25" s="123">
        <f t="shared" si="8"/>
        <v>15000</v>
      </c>
    </row>
    <row r="26" spans="1:13" s="26" customFormat="1" ht="25.5" customHeight="1">
      <c r="A26" s="250"/>
      <c r="B26" s="46"/>
      <c r="C26" s="252"/>
      <c r="D26" s="48" t="s">
        <v>317</v>
      </c>
      <c r="E26" s="49">
        <v>3000</v>
      </c>
      <c r="F26" s="49"/>
      <c r="G26" s="123">
        <f t="shared" si="5"/>
        <v>3000</v>
      </c>
      <c r="H26" s="49"/>
      <c r="I26" s="123">
        <f t="shared" si="6"/>
        <v>3000</v>
      </c>
      <c r="J26" s="49"/>
      <c r="K26" s="123">
        <f t="shared" si="7"/>
        <v>3000</v>
      </c>
      <c r="L26" s="49"/>
      <c r="M26" s="123">
        <f t="shared" si="8"/>
        <v>3000</v>
      </c>
    </row>
    <row r="27" spans="1:13" s="26" customFormat="1" ht="21" customHeight="1">
      <c r="A27" s="72"/>
      <c r="B27" s="76"/>
      <c r="C27" s="74">
        <v>4300</v>
      </c>
      <c r="D27" s="14" t="s">
        <v>77</v>
      </c>
      <c r="E27" s="83">
        <f aca="true" t="shared" si="9" ref="E27:K27">SUM(E28:E33)</f>
        <v>262000</v>
      </c>
      <c r="F27" s="83">
        <f t="shared" si="9"/>
        <v>-30000</v>
      </c>
      <c r="G27" s="83">
        <f t="shared" si="9"/>
        <v>232000</v>
      </c>
      <c r="H27" s="83">
        <f t="shared" si="9"/>
        <v>0</v>
      </c>
      <c r="I27" s="83">
        <f t="shared" si="9"/>
        <v>232000</v>
      </c>
      <c r="J27" s="83">
        <f t="shared" si="9"/>
        <v>-20000</v>
      </c>
      <c r="K27" s="83">
        <f t="shared" si="9"/>
        <v>212000</v>
      </c>
      <c r="L27" s="83">
        <f>SUM(L28:L33)</f>
        <v>21500</v>
      </c>
      <c r="M27" s="83">
        <f>SUM(M28:M33)</f>
        <v>233500</v>
      </c>
    </row>
    <row r="28" spans="1:13" s="26" customFormat="1" ht="21" customHeight="1">
      <c r="A28" s="250"/>
      <c r="B28" s="46"/>
      <c r="C28" s="252"/>
      <c r="D28" s="48" t="s">
        <v>315</v>
      </c>
      <c r="E28" s="49">
        <v>150000</v>
      </c>
      <c r="F28" s="49"/>
      <c r="G28" s="123">
        <f aca="true" t="shared" si="10" ref="G28:G33">SUM(E28:F28)</f>
        <v>150000</v>
      </c>
      <c r="H28" s="49"/>
      <c r="I28" s="123">
        <f aca="true" t="shared" si="11" ref="I28:I33">SUM(G28:H28)</f>
        <v>150000</v>
      </c>
      <c r="J28" s="49"/>
      <c r="K28" s="123">
        <f aca="true" t="shared" si="12" ref="K28:K33">SUM(I28:J28)</f>
        <v>150000</v>
      </c>
      <c r="L28" s="49">
        <v>41500</v>
      </c>
      <c r="M28" s="123">
        <f aca="true" t="shared" si="13" ref="M28:M33">SUM(K28:L28)</f>
        <v>191500</v>
      </c>
    </row>
    <row r="29" spans="1:13" s="26" customFormat="1" ht="21" customHeight="1">
      <c r="A29" s="250"/>
      <c r="B29" s="46"/>
      <c r="C29" s="252"/>
      <c r="D29" s="48" t="s">
        <v>251</v>
      </c>
      <c r="E29" s="49">
        <v>15000</v>
      </c>
      <c r="F29" s="49"/>
      <c r="G29" s="123">
        <f t="shared" si="10"/>
        <v>15000</v>
      </c>
      <c r="H29" s="49"/>
      <c r="I29" s="123">
        <f t="shared" si="11"/>
        <v>15000</v>
      </c>
      <c r="J29" s="49"/>
      <c r="K29" s="123">
        <f t="shared" si="12"/>
        <v>15000</v>
      </c>
      <c r="L29" s="49"/>
      <c r="M29" s="123">
        <f t="shared" si="13"/>
        <v>15000</v>
      </c>
    </row>
    <row r="30" spans="1:13" s="26" customFormat="1" ht="21" customHeight="1">
      <c r="A30" s="250"/>
      <c r="B30" s="47"/>
      <c r="C30" s="47"/>
      <c r="D30" s="48" t="s">
        <v>252</v>
      </c>
      <c r="E30" s="49">
        <v>20000</v>
      </c>
      <c r="F30" s="49"/>
      <c r="G30" s="123">
        <f t="shared" si="10"/>
        <v>20000</v>
      </c>
      <c r="H30" s="49"/>
      <c r="I30" s="123">
        <f t="shared" si="11"/>
        <v>20000</v>
      </c>
      <c r="J30" s="49">
        <v>-20000</v>
      </c>
      <c r="K30" s="123">
        <f t="shared" si="12"/>
        <v>0</v>
      </c>
      <c r="L30" s="49"/>
      <c r="M30" s="123">
        <f t="shared" si="13"/>
        <v>0</v>
      </c>
    </row>
    <row r="31" spans="1:13" s="26" customFormat="1" ht="21" customHeight="1">
      <c r="A31" s="250"/>
      <c r="B31" s="47"/>
      <c r="C31" s="47"/>
      <c r="D31" s="48" t="s">
        <v>254</v>
      </c>
      <c r="E31" s="49">
        <v>10000</v>
      </c>
      <c r="F31" s="49"/>
      <c r="G31" s="123">
        <f t="shared" si="10"/>
        <v>10000</v>
      </c>
      <c r="H31" s="49"/>
      <c r="I31" s="123">
        <f t="shared" si="11"/>
        <v>10000</v>
      </c>
      <c r="J31" s="49"/>
      <c r="K31" s="123">
        <f t="shared" si="12"/>
        <v>10000</v>
      </c>
      <c r="L31" s="49"/>
      <c r="M31" s="123">
        <f t="shared" si="13"/>
        <v>10000</v>
      </c>
    </row>
    <row r="32" spans="1:13" s="26" customFormat="1" ht="22.5">
      <c r="A32" s="250"/>
      <c r="B32" s="47"/>
      <c r="C32" s="47"/>
      <c r="D32" s="48" t="s">
        <v>316</v>
      </c>
      <c r="E32" s="49">
        <f>20000-3000</f>
        <v>17000</v>
      </c>
      <c r="F32" s="49"/>
      <c r="G32" s="123">
        <f t="shared" si="10"/>
        <v>17000</v>
      </c>
      <c r="H32" s="49"/>
      <c r="I32" s="123">
        <f t="shared" si="11"/>
        <v>17000</v>
      </c>
      <c r="J32" s="49"/>
      <c r="K32" s="123">
        <f t="shared" si="12"/>
        <v>17000</v>
      </c>
      <c r="L32" s="49">
        <v>-10000</v>
      </c>
      <c r="M32" s="123">
        <f t="shared" si="13"/>
        <v>7000</v>
      </c>
    </row>
    <row r="33" spans="1:13" s="26" customFormat="1" ht="21" customHeight="1">
      <c r="A33" s="250"/>
      <c r="B33" s="47"/>
      <c r="C33" s="47"/>
      <c r="D33" s="48" t="s">
        <v>253</v>
      </c>
      <c r="E33" s="49">
        <v>50000</v>
      </c>
      <c r="F33" s="49">
        <v>-30000</v>
      </c>
      <c r="G33" s="123">
        <f t="shared" si="10"/>
        <v>20000</v>
      </c>
      <c r="H33" s="49"/>
      <c r="I33" s="123">
        <f t="shared" si="11"/>
        <v>20000</v>
      </c>
      <c r="J33" s="49"/>
      <c r="K33" s="123">
        <f t="shared" si="12"/>
        <v>20000</v>
      </c>
      <c r="L33" s="49">
        <v>-10000</v>
      </c>
      <c r="M33" s="123">
        <f t="shared" si="13"/>
        <v>10000</v>
      </c>
    </row>
    <row r="34" spans="1:13" s="26" customFormat="1" ht="21" customHeight="1">
      <c r="A34" s="72"/>
      <c r="B34" s="50"/>
      <c r="C34" s="50">
        <v>4810</v>
      </c>
      <c r="D34" s="14" t="s">
        <v>361</v>
      </c>
      <c r="E34" s="83">
        <f aca="true" t="shared" si="14" ref="E34:M34">SUM(E35)</f>
        <v>0</v>
      </c>
      <c r="F34" s="83">
        <f t="shared" si="14"/>
        <v>30000</v>
      </c>
      <c r="G34" s="83">
        <f t="shared" si="14"/>
        <v>30000</v>
      </c>
      <c r="H34" s="83">
        <f t="shared" si="14"/>
        <v>0</v>
      </c>
      <c r="I34" s="83">
        <f t="shared" si="14"/>
        <v>30000</v>
      </c>
      <c r="J34" s="83">
        <f t="shared" si="14"/>
        <v>0</v>
      </c>
      <c r="K34" s="83">
        <f t="shared" si="14"/>
        <v>30000</v>
      </c>
      <c r="L34" s="83">
        <f t="shared" si="14"/>
        <v>0</v>
      </c>
      <c r="M34" s="83">
        <f t="shared" si="14"/>
        <v>30000</v>
      </c>
    </row>
    <row r="35" spans="1:13" s="28" customFormat="1" ht="26.25" customHeight="1">
      <c r="A35" s="250"/>
      <c r="B35" s="47"/>
      <c r="C35" s="47"/>
      <c r="D35" s="253" t="s">
        <v>360</v>
      </c>
      <c r="E35" s="49">
        <v>0</v>
      </c>
      <c r="F35" s="49">
        <v>30000</v>
      </c>
      <c r="G35" s="123">
        <f>SUM(E35:F35)</f>
        <v>30000</v>
      </c>
      <c r="H35" s="49"/>
      <c r="I35" s="123">
        <f>SUM(G35:H35)</f>
        <v>30000</v>
      </c>
      <c r="J35" s="49">
        <v>0</v>
      </c>
      <c r="K35" s="123">
        <f>SUM(I35:J35)</f>
        <v>30000</v>
      </c>
      <c r="L35" s="49">
        <v>0</v>
      </c>
      <c r="M35" s="123">
        <f>SUM(K35:L35)</f>
        <v>30000</v>
      </c>
    </row>
    <row r="36" spans="1:13" ht="21" customHeight="1">
      <c r="A36" s="3"/>
      <c r="B36" s="4"/>
      <c r="C36" s="4"/>
      <c r="D36" s="13" t="s">
        <v>65</v>
      </c>
      <c r="E36" s="19">
        <f>SUM(E15)</f>
        <v>341000</v>
      </c>
      <c r="F36" s="19">
        <f>SUM(F15)</f>
        <v>0</v>
      </c>
      <c r="G36" s="33">
        <f>SUM(E36:F36)</f>
        <v>341000</v>
      </c>
      <c r="H36" s="19">
        <f>SUM(H15)</f>
        <v>0</v>
      </c>
      <c r="I36" s="33">
        <f>SUM(G36:H36)</f>
        <v>341000</v>
      </c>
      <c r="J36" s="19">
        <f>SUM(J15)</f>
        <v>0</v>
      </c>
      <c r="K36" s="33">
        <f>SUM(I36:J36)</f>
        <v>341000</v>
      </c>
      <c r="L36" s="19">
        <f>SUM(L15)</f>
        <v>0</v>
      </c>
      <c r="M36" s="33">
        <f>SUM(K36:L36)</f>
        <v>341000</v>
      </c>
    </row>
    <row r="37" spans="1:13" ht="0.75" customHeight="1" hidden="1">
      <c r="A37" s="125"/>
      <c r="B37" s="126"/>
      <c r="C37" s="122"/>
      <c r="D37" s="127" t="s">
        <v>224</v>
      </c>
      <c r="E37" s="19">
        <f>SUM(E11-E36)</f>
        <v>0</v>
      </c>
      <c r="F37" s="19"/>
      <c r="G37" s="33" t="e">
        <f>SUM(E37+F37-#REF!)</f>
        <v>#REF!</v>
      </c>
      <c r="H37" s="19"/>
      <c r="I37" s="33" t="e">
        <f>SUM(G37+H37-#REF!)</f>
        <v>#REF!</v>
      </c>
      <c r="J37" s="19"/>
      <c r="K37" s="33" t="e">
        <f>SUM(I37+J37-#REF!)</f>
        <v>#REF!</v>
      </c>
      <c r="L37" s="19"/>
      <c r="M37" s="33" t="e">
        <f>SUM(K37+L37-#REF!)</f>
        <v>#REF!</v>
      </c>
    </row>
  </sheetData>
  <sheetProtection/>
  <mergeCells count="3">
    <mergeCell ref="A6:E6"/>
    <mergeCell ref="A12:E12"/>
    <mergeCell ref="A5:M5"/>
  </mergeCells>
  <printOptions horizontalCentered="1"/>
  <pageMargins left="0.35433070866141736" right="0.2362204724409449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5.375" style="9" customWidth="1"/>
    <col min="2" max="2" width="7.375" style="9" customWidth="1"/>
    <col min="3" max="3" width="5.00390625" style="9" customWidth="1"/>
    <col min="4" max="4" width="38.00390625" style="9" customWidth="1"/>
    <col min="5" max="5" width="17.375" style="0" hidden="1" customWidth="1"/>
    <col min="6" max="6" width="8.375" style="0" hidden="1" customWidth="1"/>
    <col min="7" max="7" width="43.625" style="0" hidden="1" customWidth="1"/>
    <col min="8" max="8" width="9.375" style="0" hidden="1" customWidth="1"/>
    <col min="9" max="9" width="13.25390625" style="0" customWidth="1"/>
    <col min="10" max="10" width="11.75390625" style="0" customWidth="1"/>
    <col min="11" max="11" width="13.25390625" style="0" customWidth="1"/>
  </cols>
  <sheetData>
    <row r="1" spans="4:11" ht="12.75">
      <c r="D1" s="233"/>
      <c r="E1" s="56" t="s">
        <v>326</v>
      </c>
      <c r="F1" s="56"/>
      <c r="G1" s="235" t="s">
        <v>424</v>
      </c>
      <c r="H1" s="56"/>
      <c r="I1" s="235" t="s">
        <v>478</v>
      </c>
      <c r="J1" s="56"/>
      <c r="K1" s="26"/>
    </row>
    <row r="2" spans="4:11" ht="12.75">
      <c r="D2" s="233"/>
      <c r="E2" s="56" t="s">
        <v>217</v>
      </c>
      <c r="F2" s="56"/>
      <c r="G2" s="235" t="s">
        <v>422</v>
      </c>
      <c r="H2" s="56"/>
      <c r="I2" s="235" t="s">
        <v>471</v>
      </c>
      <c r="J2" s="56"/>
      <c r="K2" s="26"/>
    </row>
    <row r="3" spans="4:11" ht="12.75">
      <c r="D3" s="233"/>
      <c r="E3" s="56" t="s">
        <v>144</v>
      </c>
      <c r="F3" s="56"/>
      <c r="G3" s="235" t="s">
        <v>417</v>
      </c>
      <c r="H3" s="56"/>
      <c r="I3" s="235" t="s">
        <v>424</v>
      </c>
      <c r="J3" s="56"/>
      <c r="K3" s="26"/>
    </row>
    <row r="4" spans="4:11" ht="12.75">
      <c r="D4" s="233"/>
      <c r="E4" s="56" t="s">
        <v>218</v>
      </c>
      <c r="F4" s="56"/>
      <c r="G4" s="235" t="s">
        <v>413</v>
      </c>
      <c r="H4" s="56"/>
      <c r="I4" s="235" t="s">
        <v>425</v>
      </c>
      <c r="J4" s="56"/>
      <c r="K4" s="26"/>
    </row>
    <row r="5" spans="1:11" ht="49.5" customHeight="1">
      <c r="A5" s="268" t="s">
        <v>328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</row>
    <row r="6" spans="1:11" ht="29.25" customHeight="1">
      <c r="A6" s="269" t="s">
        <v>285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</row>
    <row r="7" spans="1:11" s="108" customFormat="1" ht="24.75" customHeight="1">
      <c r="A7" s="2" t="s">
        <v>0</v>
      </c>
      <c r="B7" s="2" t="s">
        <v>1</v>
      </c>
      <c r="C7" s="2" t="s">
        <v>2</v>
      </c>
      <c r="D7" s="2" t="s">
        <v>3</v>
      </c>
      <c r="E7" s="101" t="s">
        <v>139</v>
      </c>
      <c r="F7" s="101" t="s">
        <v>336</v>
      </c>
      <c r="G7" s="101" t="s">
        <v>139</v>
      </c>
      <c r="H7" s="101" t="s">
        <v>336</v>
      </c>
      <c r="I7" s="101" t="s">
        <v>139</v>
      </c>
      <c r="J7" s="101" t="s">
        <v>336</v>
      </c>
      <c r="K7" s="101" t="s">
        <v>394</v>
      </c>
    </row>
    <row r="8" spans="1:11" s="27" customFormat="1" ht="36">
      <c r="A8" s="2">
        <v>756</v>
      </c>
      <c r="B8" s="2"/>
      <c r="C8" s="2"/>
      <c r="D8" s="44" t="s">
        <v>27</v>
      </c>
      <c r="E8" s="33">
        <f aca="true" t="shared" si="0" ref="E8:K9">SUM(E9)</f>
        <v>339000</v>
      </c>
      <c r="F8" s="33">
        <f t="shared" si="0"/>
        <v>0</v>
      </c>
      <c r="G8" s="33">
        <f t="shared" si="0"/>
        <v>339000</v>
      </c>
      <c r="H8" s="33">
        <f t="shared" si="0"/>
        <v>0</v>
      </c>
      <c r="I8" s="33">
        <f t="shared" si="0"/>
        <v>339000</v>
      </c>
      <c r="J8" s="33">
        <f t="shared" si="0"/>
        <v>0</v>
      </c>
      <c r="K8" s="33">
        <f t="shared" si="0"/>
        <v>339000</v>
      </c>
    </row>
    <row r="9" spans="1:11" s="110" customFormat="1" ht="33.75">
      <c r="A9" s="53"/>
      <c r="B9" s="50">
        <v>75618</v>
      </c>
      <c r="C9" s="53"/>
      <c r="D9" s="45" t="s">
        <v>142</v>
      </c>
      <c r="E9" s="103">
        <f t="shared" si="0"/>
        <v>339000</v>
      </c>
      <c r="F9" s="103">
        <f t="shared" si="0"/>
        <v>0</v>
      </c>
      <c r="G9" s="103">
        <f t="shared" si="0"/>
        <v>339000</v>
      </c>
      <c r="H9" s="103">
        <f t="shared" si="0"/>
        <v>0</v>
      </c>
      <c r="I9" s="103">
        <f t="shared" si="0"/>
        <v>339000</v>
      </c>
      <c r="J9" s="103">
        <f t="shared" si="0"/>
        <v>0</v>
      </c>
      <c r="K9" s="103">
        <f t="shared" si="0"/>
        <v>339000</v>
      </c>
    </row>
    <row r="10" spans="1:11" s="110" customFormat="1" ht="23.25" customHeight="1">
      <c r="A10" s="53"/>
      <c r="B10" s="53"/>
      <c r="C10" s="111" t="s">
        <v>176</v>
      </c>
      <c r="D10" s="75" t="s">
        <v>289</v>
      </c>
      <c r="E10" s="103">
        <v>339000</v>
      </c>
      <c r="F10" s="103"/>
      <c r="G10" s="103">
        <f>SUM(E10:F10)</f>
        <v>339000</v>
      </c>
      <c r="H10" s="103"/>
      <c r="I10" s="103">
        <f>SUM(G10:H10)</f>
        <v>339000</v>
      </c>
      <c r="J10" s="103"/>
      <c r="K10" s="103">
        <f>SUM(I10:J10)</f>
        <v>339000</v>
      </c>
    </row>
    <row r="11" spans="1:11" s="1" customFormat="1" ht="21" customHeight="1">
      <c r="A11" s="43"/>
      <c r="B11" s="43"/>
      <c r="C11" s="43"/>
      <c r="D11" s="2" t="s">
        <v>65</v>
      </c>
      <c r="E11" s="33">
        <f aca="true" t="shared" si="1" ref="E11:K11">SUM(E8)</f>
        <v>339000</v>
      </c>
      <c r="F11" s="33">
        <f t="shared" si="1"/>
        <v>0</v>
      </c>
      <c r="G11" s="33">
        <f t="shared" si="1"/>
        <v>339000</v>
      </c>
      <c r="H11" s="33">
        <f t="shared" si="1"/>
        <v>0</v>
      </c>
      <c r="I11" s="33">
        <f t="shared" si="1"/>
        <v>339000</v>
      </c>
      <c r="J11" s="33">
        <f t="shared" si="1"/>
        <v>0</v>
      </c>
      <c r="K11" s="33">
        <f t="shared" si="1"/>
        <v>339000</v>
      </c>
    </row>
    <row r="12" spans="1:11" ht="46.5" customHeight="1">
      <c r="A12" s="269" t="s">
        <v>327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s="113" customFormat="1" ht="23.25" customHeight="1">
      <c r="A13" s="2" t="s">
        <v>0</v>
      </c>
      <c r="B13" s="2" t="s">
        <v>1</v>
      </c>
      <c r="C13" s="2" t="s">
        <v>2</v>
      </c>
      <c r="D13" s="2" t="s">
        <v>3</v>
      </c>
      <c r="E13" s="101" t="s">
        <v>139</v>
      </c>
      <c r="F13" s="101" t="s">
        <v>336</v>
      </c>
      <c r="G13" s="101" t="s">
        <v>139</v>
      </c>
      <c r="H13" s="101" t="s">
        <v>336</v>
      </c>
      <c r="I13" s="101" t="s">
        <v>139</v>
      </c>
      <c r="J13" s="101" t="s">
        <v>336</v>
      </c>
      <c r="K13" s="101" t="s">
        <v>394</v>
      </c>
    </row>
    <row r="14" spans="1:11" s="113" customFormat="1" ht="23.25" customHeight="1">
      <c r="A14" s="36" t="s">
        <v>45</v>
      </c>
      <c r="B14" s="37"/>
      <c r="C14" s="38"/>
      <c r="D14" s="39" t="s">
        <v>46</v>
      </c>
      <c r="E14" s="184">
        <f aca="true" t="shared" si="2" ref="E14:K15">SUM(E15)</f>
        <v>111000</v>
      </c>
      <c r="F14" s="184">
        <f t="shared" si="2"/>
        <v>0</v>
      </c>
      <c r="G14" s="184">
        <f t="shared" si="2"/>
        <v>111000</v>
      </c>
      <c r="H14" s="184">
        <f t="shared" si="2"/>
        <v>-55495</v>
      </c>
      <c r="I14" s="184">
        <f t="shared" si="2"/>
        <v>55505</v>
      </c>
      <c r="J14" s="184">
        <f t="shared" si="2"/>
        <v>-40000</v>
      </c>
      <c r="K14" s="184">
        <f t="shared" si="2"/>
        <v>15505</v>
      </c>
    </row>
    <row r="15" spans="1:11" s="190" customFormat="1" ht="23.25" customHeight="1">
      <c r="A15" s="66"/>
      <c r="B15" s="80" t="s">
        <v>104</v>
      </c>
      <c r="C15" s="84"/>
      <c r="D15" s="41" t="s">
        <v>105</v>
      </c>
      <c r="E15" s="189">
        <f t="shared" si="2"/>
        <v>111000</v>
      </c>
      <c r="F15" s="189">
        <f t="shared" si="2"/>
        <v>0</v>
      </c>
      <c r="G15" s="189">
        <f t="shared" si="2"/>
        <v>111000</v>
      </c>
      <c r="H15" s="189">
        <f t="shared" si="2"/>
        <v>-55495</v>
      </c>
      <c r="I15" s="189">
        <f t="shared" si="2"/>
        <v>55505</v>
      </c>
      <c r="J15" s="189">
        <f t="shared" si="2"/>
        <v>-40000</v>
      </c>
      <c r="K15" s="189">
        <f t="shared" si="2"/>
        <v>15505</v>
      </c>
    </row>
    <row r="16" spans="1:11" s="190" customFormat="1" ht="23.25" customHeight="1">
      <c r="A16" s="66"/>
      <c r="B16" s="85"/>
      <c r="C16" s="84">
        <v>4810</v>
      </c>
      <c r="D16" s="41" t="s">
        <v>106</v>
      </c>
      <c r="E16" s="189">
        <f>50000+40000+21000</f>
        <v>111000</v>
      </c>
      <c r="F16" s="189"/>
      <c r="G16" s="189">
        <f>SUM(E16:F16)</f>
        <v>111000</v>
      </c>
      <c r="H16" s="189">
        <v>-55495</v>
      </c>
      <c r="I16" s="189">
        <f>SUM(G16:H16)</f>
        <v>55505</v>
      </c>
      <c r="J16" s="189">
        <v>-40000</v>
      </c>
      <c r="K16" s="189">
        <f>SUM(I16:J16)</f>
        <v>15505</v>
      </c>
    </row>
    <row r="17" spans="1:11" s="115" customFormat="1" ht="23.25" customHeight="1">
      <c r="A17" s="2">
        <v>851</v>
      </c>
      <c r="B17" s="2"/>
      <c r="C17" s="2"/>
      <c r="D17" s="116" t="s">
        <v>214</v>
      </c>
      <c r="E17" s="117">
        <f aca="true" t="shared" si="3" ref="E17:K17">E23+E18</f>
        <v>115603</v>
      </c>
      <c r="F17" s="117">
        <f t="shared" si="3"/>
        <v>-3532</v>
      </c>
      <c r="G17" s="117">
        <f t="shared" si="3"/>
        <v>112071</v>
      </c>
      <c r="H17" s="117">
        <f t="shared" si="3"/>
        <v>55495</v>
      </c>
      <c r="I17" s="117">
        <f t="shared" si="3"/>
        <v>167566</v>
      </c>
      <c r="J17" s="117">
        <f t="shared" si="3"/>
        <v>0</v>
      </c>
      <c r="K17" s="117">
        <f t="shared" si="3"/>
        <v>167566</v>
      </c>
    </row>
    <row r="18" spans="1:11" s="115" customFormat="1" ht="19.5" customHeight="1">
      <c r="A18" s="2"/>
      <c r="B18" s="53">
        <v>85153</v>
      </c>
      <c r="C18" s="2"/>
      <c r="D18" s="51" t="s">
        <v>216</v>
      </c>
      <c r="E18" s="143">
        <f aca="true" t="shared" si="4" ref="E18:K18">SUM(E19:E22)</f>
        <v>18500</v>
      </c>
      <c r="F18" s="143">
        <f t="shared" si="4"/>
        <v>-1766</v>
      </c>
      <c r="G18" s="143">
        <f t="shared" si="4"/>
        <v>16734</v>
      </c>
      <c r="H18" s="143">
        <f t="shared" si="4"/>
        <v>0</v>
      </c>
      <c r="I18" s="143">
        <f t="shared" si="4"/>
        <v>16734</v>
      </c>
      <c r="J18" s="143">
        <f t="shared" si="4"/>
        <v>0</v>
      </c>
      <c r="K18" s="143">
        <f t="shared" si="4"/>
        <v>16734</v>
      </c>
    </row>
    <row r="19" spans="1:11" s="141" customFormat="1" ht="19.5" customHeight="1">
      <c r="A19" s="139"/>
      <c r="B19" s="139"/>
      <c r="C19" s="139">
        <v>4170</v>
      </c>
      <c r="D19" s="14" t="s">
        <v>191</v>
      </c>
      <c r="E19" s="165">
        <f>1500</f>
        <v>1500</v>
      </c>
      <c r="F19" s="165"/>
      <c r="G19" s="165">
        <f>SUM(E19:F19)</f>
        <v>1500</v>
      </c>
      <c r="H19" s="165"/>
      <c r="I19" s="165">
        <f>SUM(G19:H19)</f>
        <v>1500</v>
      </c>
      <c r="J19" s="165"/>
      <c r="K19" s="165">
        <f>SUM(I19:J19)</f>
        <v>1500</v>
      </c>
    </row>
    <row r="20" spans="1:11" s="141" customFormat="1" ht="18" customHeight="1">
      <c r="A20" s="139"/>
      <c r="B20" s="139"/>
      <c r="C20" s="139">
        <v>4210</v>
      </c>
      <c r="D20" s="14" t="s">
        <v>90</v>
      </c>
      <c r="E20" s="165">
        <f>2500+500+2500+2000</f>
        <v>7500</v>
      </c>
      <c r="F20" s="165"/>
      <c r="G20" s="165">
        <f>SUM(E20:F20)</f>
        <v>7500</v>
      </c>
      <c r="H20" s="165"/>
      <c r="I20" s="165">
        <f>SUM(G20:H20)</f>
        <v>7500</v>
      </c>
      <c r="J20" s="165"/>
      <c r="K20" s="165">
        <f>SUM(I20:J20)</f>
        <v>7500</v>
      </c>
    </row>
    <row r="21" spans="1:11" s="141" customFormat="1" ht="18" customHeight="1">
      <c r="A21" s="139"/>
      <c r="B21" s="139"/>
      <c r="C21" s="139">
        <v>4220</v>
      </c>
      <c r="D21" s="14" t="s">
        <v>178</v>
      </c>
      <c r="E21" s="165">
        <v>500</v>
      </c>
      <c r="F21" s="165"/>
      <c r="G21" s="165">
        <f>SUM(E21:F21)</f>
        <v>500</v>
      </c>
      <c r="H21" s="165"/>
      <c r="I21" s="165">
        <f>SUM(G21:H21)</f>
        <v>500</v>
      </c>
      <c r="J21" s="165"/>
      <c r="K21" s="165">
        <f>SUM(I21:J21)</f>
        <v>500</v>
      </c>
    </row>
    <row r="22" spans="1:11" s="144" customFormat="1" ht="19.5" customHeight="1">
      <c r="A22" s="142"/>
      <c r="B22" s="142"/>
      <c r="C22" s="50">
        <v>4300</v>
      </c>
      <c r="D22" s="41" t="s">
        <v>77</v>
      </c>
      <c r="E22" s="143">
        <f>2500+5500+1000</f>
        <v>9000</v>
      </c>
      <c r="F22" s="143">
        <v>-1766</v>
      </c>
      <c r="G22" s="165">
        <f>SUM(E22:F22)</f>
        <v>7234</v>
      </c>
      <c r="H22" s="143"/>
      <c r="I22" s="165">
        <f>SUM(G22:H22)</f>
        <v>7234</v>
      </c>
      <c r="J22" s="143"/>
      <c r="K22" s="165">
        <f>SUM(I22:J22)</f>
        <v>7234</v>
      </c>
    </row>
    <row r="23" spans="1:11" s="26" customFormat="1" ht="21.75" customHeight="1">
      <c r="A23" s="72"/>
      <c r="B23" s="72" t="s">
        <v>117</v>
      </c>
      <c r="C23" s="50"/>
      <c r="D23" s="14" t="s">
        <v>54</v>
      </c>
      <c r="E23" s="83">
        <f aca="true" t="shared" si="5" ref="E23:K23">SUM(E24:E31)</f>
        <v>97103</v>
      </c>
      <c r="F23" s="83">
        <f t="shared" si="5"/>
        <v>-1766</v>
      </c>
      <c r="G23" s="83">
        <f t="shared" si="5"/>
        <v>95337</v>
      </c>
      <c r="H23" s="83">
        <f t="shared" si="5"/>
        <v>55495</v>
      </c>
      <c r="I23" s="83">
        <f t="shared" si="5"/>
        <v>150832</v>
      </c>
      <c r="J23" s="83">
        <f t="shared" si="5"/>
        <v>0</v>
      </c>
      <c r="K23" s="83">
        <f t="shared" si="5"/>
        <v>150832</v>
      </c>
    </row>
    <row r="24" spans="1:11" s="26" customFormat="1" ht="56.25">
      <c r="A24" s="72"/>
      <c r="B24" s="72"/>
      <c r="C24" s="50">
        <v>2360</v>
      </c>
      <c r="D24" s="41" t="s">
        <v>419</v>
      </c>
      <c r="E24" s="83"/>
      <c r="F24" s="83"/>
      <c r="G24" s="83">
        <v>0</v>
      </c>
      <c r="H24" s="83">
        <v>34495</v>
      </c>
      <c r="I24" s="83">
        <f>SUM(G24:H24)</f>
        <v>34495</v>
      </c>
      <c r="J24" s="83"/>
      <c r="K24" s="83">
        <f>SUM(I24:J24)</f>
        <v>34495</v>
      </c>
    </row>
    <row r="25" spans="1:11" s="26" customFormat="1" ht="33.75">
      <c r="A25" s="72"/>
      <c r="B25" s="72"/>
      <c r="C25" s="50">
        <v>2710</v>
      </c>
      <c r="D25" s="41" t="s">
        <v>418</v>
      </c>
      <c r="E25" s="83"/>
      <c r="F25" s="83"/>
      <c r="G25" s="83">
        <v>0</v>
      </c>
      <c r="H25" s="83">
        <v>34170</v>
      </c>
      <c r="I25" s="83">
        <f aca="true" t="shared" si="6" ref="I25:I31">SUM(G25:H25)</f>
        <v>34170</v>
      </c>
      <c r="J25" s="83"/>
      <c r="K25" s="83">
        <f aca="true" t="shared" si="7" ref="K25:K31">SUM(I25:J25)</f>
        <v>34170</v>
      </c>
    </row>
    <row r="26" spans="1:11" s="26" customFormat="1" ht="20.25" customHeight="1">
      <c r="A26" s="72"/>
      <c r="B26" s="72"/>
      <c r="C26" s="50">
        <v>4110</v>
      </c>
      <c r="D26" s="41" t="s">
        <v>84</v>
      </c>
      <c r="E26" s="83">
        <f>1858</f>
        <v>1858</v>
      </c>
      <c r="F26" s="83"/>
      <c r="G26" s="83">
        <f aca="true" t="shared" si="8" ref="G26:G31">SUM(E26:F26)</f>
        <v>1858</v>
      </c>
      <c r="H26" s="83"/>
      <c r="I26" s="83">
        <f t="shared" si="6"/>
        <v>1858</v>
      </c>
      <c r="J26" s="83"/>
      <c r="K26" s="83">
        <f t="shared" si="7"/>
        <v>1858</v>
      </c>
    </row>
    <row r="27" spans="1:11" s="26" customFormat="1" ht="21.75" customHeight="1">
      <c r="A27" s="72"/>
      <c r="B27" s="50"/>
      <c r="C27" s="50">
        <v>4170</v>
      </c>
      <c r="D27" s="14" t="s">
        <v>191</v>
      </c>
      <c r="E27" s="90">
        <f>19200+17100+1500</f>
        <v>37800</v>
      </c>
      <c r="F27" s="90"/>
      <c r="G27" s="83">
        <f t="shared" si="8"/>
        <v>37800</v>
      </c>
      <c r="H27" s="90">
        <v>-2000</v>
      </c>
      <c r="I27" s="83">
        <f t="shared" si="6"/>
        <v>35800</v>
      </c>
      <c r="J27" s="90"/>
      <c r="K27" s="83">
        <f t="shared" si="7"/>
        <v>35800</v>
      </c>
    </row>
    <row r="28" spans="1:11" s="26" customFormat="1" ht="21.75" customHeight="1">
      <c r="A28" s="72"/>
      <c r="B28" s="50"/>
      <c r="C28" s="50">
        <v>4210</v>
      </c>
      <c r="D28" s="14" t="s">
        <v>90</v>
      </c>
      <c r="E28" s="90">
        <f>2500+800+500+2500+2000</f>
        <v>8300</v>
      </c>
      <c r="F28" s="90">
        <v>8645</v>
      </c>
      <c r="G28" s="83">
        <f t="shared" si="8"/>
        <v>16945</v>
      </c>
      <c r="H28" s="90">
        <v>-4350</v>
      </c>
      <c r="I28" s="83">
        <f t="shared" si="6"/>
        <v>12595</v>
      </c>
      <c r="J28" s="90"/>
      <c r="K28" s="83">
        <f t="shared" si="7"/>
        <v>12595</v>
      </c>
    </row>
    <row r="29" spans="1:11" s="26" customFormat="1" ht="21.75" customHeight="1">
      <c r="A29" s="72"/>
      <c r="B29" s="50"/>
      <c r="C29" s="50">
        <v>4220</v>
      </c>
      <c r="D29" s="14" t="s">
        <v>178</v>
      </c>
      <c r="E29" s="90">
        <f>18500+500</f>
        <v>19000</v>
      </c>
      <c r="F29" s="90"/>
      <c r="G29" s="83">
        <f t="shared" si="8"/>
        <v>19000</v>
      </c>
      <c r="H29" s="90"/>
      <c r="I29" s="83">
        <f t="shared" si="6"/>
        <v>19000</v>
      </c>
      <c r="J29" s="90"/>
      <c r="K29" s="83">
        <f t="shared" si="7"/>
        <v>19000</v>
      </c>
    </row>
    <row r="30" spans="1:11" s="26" customFormat="1" ht="20.25" customHeight="1">
      <c r="A30" s="72"/>
      <c r="B30" s="50"/>
      <c r="C30" s="50">
        <v>4300</v>
      </c>
      <c r="D30" s="14" t="s">
        <v>77</v>
      </c>
      <c r="E30" s="90">
        <f>2500+4000+7000+8645+5500+1000</f>
        <v>28645</v>
      </c>
      <c r="F30" s="90">
        <f>-8645-1766</f>
        <v>-10411</v>
      </c>
      <c r="G30" s="83">
        <f t="shared" si="8"/>
        <v>18234</v>
      </c>
      <c r="H30" s="90">
        <v>-6820</v>
      </c>
      <c r="I30" s="83">
        <f t="shared" si="6"/>
        <v>11414</v>
      </c>
      <c r="J30" s="90"/>
      <c r="K30" s="83">
        <f t="shared" si="7"/>
        <v>11414</v>
      </c>
    </row>
    <row r="31" spans="1:11" s="26" customFormat="1" ht="21" customHeight="1">
      <c r="A31" s="72"/>
      <c r="B31" s="50"/>
      <c r="C31" s="50">
        <v>4410</v>
      </c>
      <c r="D31" s="41" t="s">
        <v>88</v>
      </c>
      <c r="E31" s="90">
        <v>1500</v>
      </c>
      <c r="F31" s="90"/>
      <c r="G31" s="83">
        <f t="shared" si="8"/>
        <v>1500</v>
      </c>
      <c r="H31" s="90"/>
      <c r="I31" s="83">
        <f t="shared" si="6"/>
        <v>1500</v>
      </c>
      <c r="J31" s="90"/>
      <c r="K31" s="83">
        <f t="shared" si="7"/>
        <v>1500</v>
      </c>
    </row>
    <row r="32" spans="1:11" s="9" customFormat="1" ht="21.75" customHeight="1">
      <c r="A32" s="34">
        <v>852</v>
      </c>
      <c r="B32" s="6"/>
      <c r="C32" s="6"/>
      <c r="D32" s="21" t="s">
        <v>185</v>
      </c>
      <c r="E32" s="19">
        <f aca="true" t="shared" si="9" ref="E32:K32">SUM(E33,)</f>
        <v>105562</v>
      </c>
      <c r="F32" s="19">
        <f t="shared" si="9"/>
        <v>0</v>
      </c>
      <c r="G32" s="19">
        <f t="shared" si="9"/>
        <v>105562</v>
      </c>
      <c r="H32" s="19">
        <f t="shared" si="9"/>
        <v>0</v>
      </c>
      <c r="I32" s="19">
        <f t="shared" si="9"/>
        <v>105562</v>
      </c>
      <c r="J32" s="19">
        <f t="shared" si="9"/>
        <v>0</v>
      </c>
      <c r="K32" s="19">
        <f t="shared" si="9"/>
        <v>105562</v>
      </c>
    </row>
    <row r="33" spans="1:11" s="26" customFormat="1" ht="21.75" customHeight="1">
      <c r="A33" s="72"/>
      <c r="B33" s="72">
        <v>85219</v>
      </c>
      <c r="C33" s="50"/>
      <c r="D33" s="41" t="s">
        <v>57</v>
      </c>
      <c r="E33" s="83">
        <f aca="true" t="shared" si="10" ref="E33:K33">SUM(E34:E47)</f>
        <v>105562</v>
      </c>
      <c r="F33" s="83">
        <f t="shared" si="10"/>
        <v>0</v>
      </c>
      <c r="G33" s="83">
        <f t="shared" si="10"/>
        <v>105562</v>
      </c>
      <c r="H33" s="83">
        <f t="shared" si="10"/>
        <v>0</v>
      </c>
      <c r="I33" s="83">
        <f t="shared" si="10"/>
        <v>105562</v>
      </c>
      <c r="J33" s="83">
        <f t="shared" si="10"/>
        <v>0</v>
      </c>
      <c r="K33" s="83">
        <f t="shared" si="10"/>
        <v>105562</v>
      </c>
    </row>
    <row r="34" spans="1:11" s="26" customFormat="1" ht="21.75" customHeight="1">
      <c r="A34" s="72"/>
      <c r="B34" s="72"/>
      <c r="C34" s="84">
        <v>4010</v>
      </c>
      <c r="D34" s="41" t="s">
        <v>82</v>
      </c>
      <c r="E34" s="90">
        <v>32387</v>
      </c>
      <c r="F34" s="90"/>
      <c r="G34" s="90">
        <f>SUM(E34:F34)</f>
        <v>32387</v>
      </c>
      <c r="H34" s="90"/>
      <c r="I34" s="90">
        <f>SUM(G34:H34)</f>
        <v>32387</v>
      </c>
      <c r="J34" s="90"/>
      <c r="K34" s="90">
        <f>SUM(I34:J34)</f>
        <v>32387</v>
      </c>
    </row>
    <row r="35" spans="1:11" s="26" customFormat="1" ht="21.75" customHeight="1">
      <c r="A35" s="72"/>
      <c r="B35" s="72"/>
      <c r="C35" s="84">
        <v>4040</v>
      </c>
      <c r="D35" s="41" t="s">
        <v>83</v>
      </c>
      <c r="E35" s="90">
        <v>2500</v>
      </c>
      <c r="F35" s="90"/>
      <c r="G35" s="90">
        <f aca="true" t="shared" si="11" ref="G35:G47">SUM(E35:F35)</f>
        <v>2500</v>
      </c>
      <c r="H35" s="90"/>
      <c r="I35" s="90">
        <f aca="true" t="shared" si="12" ref="I35:I47">SUM(G35:H35)</f>
        <v>2500</v>
      </c>
      <c r="J35" s="90"/>
      <c r="K35" s="90">
        <f aca="true" t="shared" si="13" ref="K35:K47">SUM(I35:J35)</f>
        <v>2500</v>
      </c>
    </row>
    <row r="36" spans="1:11" s="26" customFormat="1" ht="21.75" customHeight="1">
      <c r="A36" s="72"/>
      <c r="B36" s="72"/>
      <c r="C36" s="84">
        <v>4110</v>
      </c>
      <c r="D36" s="41" t="s">
        <v>84</v>
      </c>
      <c r="E36" s="90">
        <v>5335</v>
      </c>
      <c r="F36" s="90"/>
      <c r="G36" s="90">
        <f t="shared" si="11"/>
        <v>5335</v>
      </c>
      <c r="H36" s="90"/>
      <c r="I36" s="90">
        <f t="shared" si="12"/>
        <v>5335</v>
      </c>
      <c r="J36" s="90"/>
      <c r="K36" s="90">
        <f t="shared" si="13"/>
        <v>5335</v>
      </c>
    </row>
    <row r="37" spans="1:11" s="26" customFormat="1" ht="21.75" customHeight="1">
      <c r="A37" s="72"/>
      <c r="B37" s="72"/>
      <c r="C37" s="84">
        <v>4120</v>
      </c>
      <c r="D37" s="41" t="s">
        <v>85</v>
      </c>
      <c r="E37" s="90">
        <v>855</v>
      </c>
      <c r="F37" s="90"/>
      <c r="G37" s="90">
        <f t="shared" si="11"/>
        <v>855</v>
      </c>
      <c r="H37" s="90"/>
      <c r="I37" s="90">
        <f t="shared" si="12"/>
        <v>855</v>
      </c>
      <c r="J37" s="90"/>
      <c r="K37" s="90">
        <f t="shared" si="13"/>
        <v>855</v>
      </c>
    </row>
    <row r="38" spans="1:11" s="26" customFormat="1" ht="21.75" customHeight="1">
      <c r="A38" s="72"/>
      <c r="B38" s="72"/>
      <c r="C38" s="84">
        <v>4210</v>
      </c>
      <c r="D38" s="14" t="s">
        <v>90</v>
      </c>
      <c r="E38" s="90">
        <v>2850</v>
      </c>
      <c r="F38" s="90"/>
      <c r="G38" s="90">
        <f t="shared" si="11"/>
        <v>2850</v>
      </c>
      <c r="H38" s="90"/>
      <c r="I38" s="90">
        <f t="shared" si="12"/>
        <v>2850</v>
      </c>
      <c r="J38" s="90"/>
      <c r="K38" s="90">
        <f t="shared" si="13"/>
        <v>2850</v>
      </c>
    </row>
    <row r="39" spans="1:11" s="26" customFormat="1" ht="21.75" customHeight="1">
      <c r="A39" s="72"/>
      <c r="B39" s="72"/>
      <c r="C39" s="84">
        <v>4280</v>
      </c>
      <c r="D39" s="14" t="s">
        <v>198</v>
      </c>
      <c r="E39" s="90">
        <v>150</v>
      </c>
      <c r="F39" s="90"/>
      <c r="G39" s="90">
        <f t="shared" si="11"/>
        <v>150</v>
      </c>
      <c r="H39" s="90"/>
      <c r="I39" s="90">
        <f t="shared" si="12"/>
        <v>150</v>
      </c>
      <c r="J39" s="90"/>
      <c r="K39" s="90">
        <f t="shared" si="13"/>
        <v>150</v>
      </c>
    </row>
    <row r="40" spans="1:11" s="26" customFormat="1" ht="21.75" customHeight="1">
      <c r="A40" s="72"/>
      <c r="B40" s="72"/>
      <c r="C40" s="84">
        <v>4300</v>
      </c>
      <c r="D40" s="14" t="s">
        <v>77</v>
      </c>
      <c r="E40" s="90">
        <f>20335+33035</f>
        <v>53370</v>
      </c>
      <c r="F40" s="90"/>
      <c r="G40" s="90">
        <f t="shared" si="11"/>
        <v>53370</v>
      </c>
      <c r="H40" s="90"/>
      <c r="I40" s="90">
        <f t="shared" si="12"/>
        <v>53370</v>
      </c>
      <c r="J40" s="90"/>
      <c r="K40" s="90">
        <f t="shared" si="13"/>
        <v>53370</v>
      </c>
    </row>
    <row r="41" spans="1:11" s="26" customFormat="1" ht="21.75" customHeight="1">
      <c r="A41" s="72"/>
      <c r="B41" s="72"/>
      <c r="C41" s="84">
        <v>4350</v>
      </c>
      <c r="D41" s="14" t="s">
        <v>204</v>
      </c>
      <c r="E41" s="90">
        <v>545</v>
      </c>
      <c r="F41" s="90"/>
      <c r="G41" s="90">
        <f t="shared" si="11"/>
        <v>545</v>
      </c>
      <c r="H41" s="90"/>
      <c r="I41" s="90">
        <f t="shared" si="12"/>
        <v>545</v>
      </c>
      <c r="J41" s="90"/>
      <c r="K41" s="90">
        <f t="shared" si="13"/>
        <v>545</v>
      </c>
    </row>
    <row r="42" spans="1:11" s="26" customFormat="1" ht="37.5" customHeight="1">
      <c r="A42" s="72"/>
      <c r="B42" s="72"/>
      <c r="C42" s="84">
        <v>4370</v>
      </c>
      <c r="D42" s="41" t="s">
        <v>288</v>
      </c>
      <c r="E42" s="90">
        <v>1560</v>
      </c>
      <c r="F42" s="90"/>
      <c r="G42" s="90">
        <f t="shared" si="11"/>
        <v>1560</v>
      </c>
      <c r="H42" s="90"/>
      <c r="I42" s="90">
        <f t="shared" si="12"/>
        <v>1560</v>
      </c>
      <c r="J42" s="90"/>
      <c r="K42" s="90">
        <f t="shared" si="13"/>
        <v>1560</v>
      </c>
    </row>
    <row r="43" spans="1:11" s="26" customFormat="1" ht="26.25" customHeight="1">
      <c r="A43" s="72"/>
      <c r="B43" s="72"/>
      <c r="C43" s="84">
        <v>4400</v>
      </c>
      <c r="D43" s="41" t="s">
        <v>233</v>
      </c>
      <c r="E43" s="90">
        <v>1660</v>
      </c>
      <c r="F43" s="90"/>
      <c r="G43" s="90">
        <f t="shared" si="11"/>
        <v>1660</v>
      </c>
      <c r="H43" s="90"/>
      <c r="I43" s="90">
        <f t="shared" si="12"/>
        <v>1660</v>
      </c>
      <c r="J43" s="90"/>
      <c r="K43" s="90">
        <f t="shared" si="13"/>
        <v>1660</v>
      </c>
    </row>
    <row r="44" spans="1:11" s="26" customFormat="1" ht="18.75" customHeight="1">
      <c r="A44" s="72"/>
      <c r="B44" s="72"/>
      <c r="C44" s="84">
        <v>4410</v>
      </c>
      <c r="D44" s="41" t="s">
        <v>88</v>
      </c>
      <c r="E44" s="90">
        <v>200</v>
      </c>
      <c r="F44" s="90"/>
      <c r="G44" s="90">
        <f t="shared" si="11"/>
        <v>200</v>
      </c>
      <c r="H44" s="90"/>
      <c r="I44" s="90">
        <f t="shared" si="12"/>
        <v>200</v>
      </c>
      <c r="J44" s="90"/>
      <c r="K44" s="90">
        <f t="shared" si="13"/>
        <v>200</v>
      </c>
    </row>
    <row r="45" spans="1:11" s="26" customFormat="1" ht="19.5" customHeight="1">
      <c r="A45" s="72"/>
      <c r="B45" s="72"/>
      <c r="C45" s="84">
        <v>4440</v>
      </c>
      <c r="D45" s="41" t="s">
        <v>86</v>
      </c>
      <c r="E45" s="90">
        <v>1150</v>
      </c>
      <c r="F45" s="90"/>
      <c r="G45" s="90">
        <f t="shared" si="11"/>
        <v>1150</v>
      </c>
      <c r="H45" s="90"/>
      <c r="I45" s="90">
        <f t="shared" si="12"/>
        <v>1150</v>
      </c>
      <c r="J45" s="90"/>
      <c r="K45" s="90">
        <f t="shared" si="13"/>
        <v>1150</v>
      </c>
    </row>
    <row r="46" spans="1:11" s="26" customFormat="1" ht="19.5" customHeight="1">
      <c r="A46" s="72"/>
      <c r="B46" s="72"/>
      <c r="C46" s="84">
        <v>4610</v>
      </c>
      <c r="D46" s="41" t="s">
        <v>180</v>
      </c>
      <c r="E46" s="90">
        <v>1000</v>
      </c>
      <c r="F46" s="90"/>
      <c r="G46" s="90">
        <f t="shared" si="11"/>
        <v>1000</v>
      </c>
      <c r="H46" s="90"/>
      <c r="I46" s="90">
        <f t="shared" si="12"/>
        <v>1000</v>
      </c>
      <c r="J46" s="90"/>
      <c r="K46" s="90">
        <f t="shared" si="13"/>
        <v>1000</v>
      </c>
    </row>
    <row r="47" spans="1:11" s="26" customFormat="1" ht="22.5">
      <c r="A47" s="72"/>
      <c r="B47" s="72"/>
      <c r="C47" s="84">
        <v>4700</v>
      </c>
      <c r="D47" s="41" t="s">
        <v>239</v>
      </c>
      <c r="E47" s="90">
        <v>2000</v>
      </c>
      <c r="F47" s="90"/>
      <c r="G47" s="90">
        <f t="shared" si="11"/>
        <v>2000</v>
      </c>
      <c r="H47" s="90"/>
      <c r="I47" s="90">
        <f t="shared" si="12"/>
        <v>2000</v>
      </c>
      <c r="J47" s="90"/>
      <c r="K47" s="90">
        <f t="shared" si="13"/>
        <v>2000</v>
      </c>
    </row>
    <row r="48" spans="1:11" s="152" customFormat="1" ht="27" customHeight="1">
      <c r="A48" s="167">
        <v>854</v>
      </c>
      <c r="B48" s="167"/>
      <c r="C48" s="168"/>
      <c r="D48" s="39" t="s">
        <v>58</v>
      </c>
      <c r="E48" s="151"/>
      <c r="F48" s="151"/>
      <c r="G48" s="151"/>
      <c r="H48" s="151"/>
      <c r="I48" s="151">
        <f aca="true" t="shared" si="14" ref="I48:K49">SUM(I49)</f>
        <v>0</v>
      </c>
      <c r="J48" s="151">
        <f t="shared" si="14"/>
        <v>40000</v>
      </c>
      <c r="K48" s="151">
        <f t="shared" si="14"/>
        <v>40000</v>
      </c>
    </row>
    <row r="49" spans="1:11" s="26" customFormat="1" ht="40.5" customHeight="1">
      <c r="A49" s="72"/>
      <c r="B49" s="72">
        <v>85412</v>
      </c>
      <c r="C49" s="84"/>
      <c r="D49" s="41" t="s">
        <v>156</v>
      </c>
      <c r="E49" s="90"/>
      <c r="F49" s="90"/>
      <c r="G49" s="90"/>
      <c r="H49" s="90"/>
      <c r="I49" s="90">
        <f t="shared" si="14"/>
        <v>0</v>
      </c>
      <c r="J49" s="90">
        <f t="shared" si="14"/>
        <v>40000</v>
      </c>
      <c r="K49" s="90">
        <f t="shared" si="14"/>
        <v>40000</v>
      </c>
    </row>
    <row r="50" spans="1:11" s="26" customFormat="1" ht="56.25">
      <c r="A50" s="72"/>
      <c r="B50" s="72"/>
      <c r="C50" s="84">
        <v>2360</v>
      </c>
      <c r="D50" s="41" t="s">
        <v>414</v>
      </c>
      <c r="E50" s="90"/>
      <c r="F50" s="90"/>
      <c r="G50" s="90"/>
      <c r="H50" s="90"/>
      <c r="I50" s="90">
        <v>0</v>
      </c>
      <c r="J50" s="90">
        <v>40000</v>
      </c>
      <c r="K50" s="90">
        <f>SUM(I50:J50)</f>
        <v>40000</v>
      </c>
    </row>
    <row r="51" spans="1:11" s="152" customFormat="1" ht="19.5" customHeight="1">
      <c r="A51" s="167">
        <v>926</v>
      </c>
      <c r="B51" s="167"/>
      <c r="C51" s="168"/>
      <c r="D51" s="169" t="s">
        <v>350</v>
      </c>
      <c r="E51" s="151">
        <f aca="true" t="shared" si="15" ref="E51:K51">SUM(E52)</f>
        <v>6835</v>
      </c>
      <c r="F51" s="151">
        <f t="shared" si="15"/>
        <v>3532</v>
      </c>
      <c r="G51" s="151">
        <f t="shared" si="15"/>
        <v>10367</v>
      </c>
      <c r="H51" s="151">
        <f t="shared" si="15"/>
        <v>0</v>
      </c>
      <c r="I51" s="151">
        <f t="shared" si="15"/>
        <v>10367</v>
      </c>
      <c r="J51" s="151">
        <f t="shared" si="15"/>
        <v>0</v>
      </c>
      <c r="K51" s="151">
        <f t="shared" si="15"/>
        <v>10367</v>
      </c>
    </row>
    <row r="52" spans="1:11" s="132" customFormat="1" ht="19.5" customHeight="1">
      <c r="A52" s="134"/>
      <c r="B52" s="134">
        <v>92605</v>
      </c>
      <c r="C52" s="166"/>
      <c r="D52" s="148" t="s">
        <v>351</v>
      </c>
      <c r="E52" s="150">
        <f aca="true" t="shared" si="16" ref="E52:K52">SUM(E53:E54)</f>
        <v>6835</v>
      </c>
      <c r="F52" s="150">
        <f t="shared" si="16"/>
        <v>3532</v>
      </c>
      <c r="G52" s="150">
        <f t="shared" si="16"/>
        <v>10367</v>
      </c>
      <c r="H52" s="150">
        <f t="shared" si="16"/>
        <v>0</v>
      </c>
      <c r="I52" s="150">
        <f t="shared" si="16"/>
        <v>10367</v>
      </c>
      <c r="J52" s="150">
        <f t="shared" si="16"/>
        <v>0</v>
      </c>
      <c r="K52" s="150">
        <f t="shared" si="16"/>
        <v>10367</v>
      </c>
    </row>
    <row r="53" spans="1:11" s="26" customFormat="1" ht="19.5" customHeight="1">
      <c r="A53" s="72"/>
      <c r="B53" s="72"/>
      <c r="C53" s="84">
        <v>4110</v>
      </c>
      <c r="D53" s="41" t="s">
        <v>84</v>
      </c>
      <c r="E53" s="90">
        <v>1078</v>
      </c>
      <c r="F53" s="90">
        <v>289</v>
      </c>
      <c r="G53" s="90">
        <f>SUM(E53:F53)</f>
        <v>1367</v>
      </c>
      <c r="H53" s="90"/>
      <c r="I53" s="90">
        <f>SUM(G53:H53)</f>
        <v>1367</v>
      </c>
      <c r="J53" s="90"/>
      <c r="K53" s="90">
        <f>SUM(I53:J53)</f>
        <v>1367</v>
      </c>
    </row>
    <row r="54" spans="1:11" s="26" customFormat="1" ht="19.5" customHeight="1">
      <c r="A54" s="72"/>
      <c r="B54" s="72"/>
      <c r="C54" s="50">
        <v>4170</v>
      </c>
      <c r="D54" s="14" t="s">
        <v>191</v>
      </c>
      <c r="E54" s="90">
        <v>5757</v>
      </c>
      <c r="F54" s="90">
        <v>3243</v>
      </c>
      <c r="G54" s="90">
        <f>SUM(E54:F54)</f>
        <v>9000</v>
      </c>
      <c r="H54" s="90"/>
      <c r="I54" s="90">
        <f>SUM(G54:H54)</f>
        <v>9000</v>
      </c>
      <c r="J54" s="90"/>
      <c r="K54" s="90">
        <f>SUM(I54:J54)</f>
        <v>9000</v>
      </c>
    </row>
    <row r="55" spans="1:11" s="42" customFormat="1" ht="22.5" customHeight="1">
      <c r="A55" s="112"/>
      <c r="B55" s="112"/>
      <c r="C55" s="112"/>
      <c r="D55" s="7" t="s">
        <v>65</v>
      </c>
      <c r="E55" s="19">
        <f>SUM(E51,E32,E17,E14)</f>
        <v>339000</v>
      </c>
      <c r="F55" s="19">
        <f>SUM(F51,F32,F17,F14)</f>
        <v>0</v>
      </c>
      <c r="G55" s="19">
        <f>SUM(G51,G32,G17,G14)</f>
        <v>339000</v>
      </c>
      <c r="H55" s="19">
        <f>SUM(H51,H32,H17,H14)</f>
        <v>0</v>
      </c>
      <c r="I55" s="19">
        <f>SUM(I51,I32,I17,I14,I48)</f>
        <v>339000</v>
      </c>
      <c r="J55" s="19">
        <f>SUM(J51,J32,J17,J14,J48)</f>
        <v>0</v>
      </c>
      <c r="K55" s="19">
        <f>SUM(K51,K32,K17,K14,K48)</f>
        <v>339000</v>
      </c>
    </row>
  </sheetData>
  <sheetProtection/>
  <mergeCells count="3">
    <mergeCell ref="A5:K5"/>
    <mergeCell ref="A12:K12"/>
    <mergeCell ref="A6:K6"/>
  </mergeCells>
  <printOptions horizontalCentered="1"/>
  <pageMargins left="0.5118110236220472" right="0.5118110236220472" top="0.7874015748031497" bottom="0.7874015748031497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</cp:lastModifiedBy>
  <cp:lastPrinted>2011-07-29T11:49:09Z</cp:lastPrinted>
  <dcterms:created xsi:type="dcterms:W3CDTF">2002-10-21T08:56:44Z</dcterms:created>
  <dcterms:modified xsi:type="dcterms:W3CDTF">2011-08-18T13:01:57Z</dcterms:modified>
  <cp:category/>
  <cp:version/>
  <cp:contentType/>
  <cp:contentStatus/>
</cp:coreProperties>
</file>